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22035" windowHeight="79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U49" i="1" l="1"/>
  <c r="P41" i="1"/>
  <c r="K41" i="1"/>
  <c r="I41" i="1"/>
  <c r="P38" i="1"/>
  <c r="P36" i="1" s="1"/>
  <c r="G38" i="1"/>
  <c r="Q37" i="1"/>
  <c r="O37" i="1"/>
  <c r="N37" i="1"/>
  <c r="N36" i="1" s="1"/>
  <c r="F37" i="1"/>
  <c r="E37" i="1"/>
  <c r="T36" i="1"/>
  <c r="S36" i="1"/>
  <c r="R36" i="1"/>
  <c r="Q36" i="1"/>
  <c r="O36" i="1"/>
  <c r="M36" i="1"/>
  <c r="L36" i="1"/>
  <c r="K36" i="1"/>
  <c r="J36" i="1"/>
  <c r="I36" i="1"/>
  <c r="H36" i="1"/>
  <c r="H43" i="1" s="1"/>
  <c r="G36" i="1"/>
  <c r="F36" i="1"/>
  <c r="F43" i="1" s="1"/>
  <c r="E36" i="1"/>
  <c r="J35" i="1"/>
  <c r="H34" i="1"/>
  <c r="G34" i="1"/>
  <c r="F34" i="1"/>
  <c r="E34" i="1"/>
  <c r="R32" i="1"/>
  <c r="Q32" i="1"/>
  <c r="O32" i="1"/>
  <c r="K32" i="1"/>
  <c r="J32" i="1"/>
  <c r="I32" i="1"/>
  <c r="H32" i="1"/>
  <c r="T30" i="1"/>
  <c r="R30" i="1"/>
  <c r="O30" i="1"/>
  <c r="K30" i="1"/>
  <c r="F30" i="1"/>
  <c r="E30" i="1"/>
  <c r="T28" i="1"/>
  <c r="R28" i="1"/>
  <c r="O28" i="1"/>
  <c r="T27" i="1"/>
  <c r="H27" i="1"/>
  <c r="E27" i="1"/>
  <c r="T26" i="1"/>
  <c r="O26" i="1"/>
  <c r="T25" i="1"/>
  <c r="S25" i="1"/>
  <c r="S22" i="1" s="1"/>
  <c r="R25" i="1"/>
  <c r="Q25" i="1"/>
  <c r="Q22" i="1" s="1"/>
  <c r="P25" i="1"/>
  <c r="O25" i="1"/>
  <c r="O22" i="1" s="1"/>
  <c r="N25" i="1"/>
  <c r="K25" i="1"/>
  <c r="K22" i="1" s="1"/>
  <c r="H25" i="1"/>
  <c r="F25" i="1"/>
  <c r="E25" i="1"/>
  <c r="H24" i="1"/>
  <c r="F24" i="1"/>
  <c r="P23" i="1"/>
  <c r="L23" i="1"/>
  <c r="J23" i="1"/>
  <c r="H23" i="1"/>
  <c r="G23" i="1"/>
  <c r="G22" i="1" s="1"/>
  <c r="F23" i="1"/>
  <c r="E23" i="1"/>
  <c r="E22" i="1" s="1"/>
  <c r="U22" i="1"/>
  <c r="T22" i="1"/>
  <c r="R22" i="1"/>
  <c r="P22" i="1"/>
  <c r="N22" i="1"/>
  <c r="M22" i="1"/>
  <c r="L22" i="1"/>
  <c r="J22" i="1"/>
  <c r="I22" i="1"/>
  <c r="H22" i="1"/>
  <c r="F22" i="1"/>
  <c r="R17" i="1"/>
  <c r="Q17" i="1"/>
  <c r="P17" i="1"/>
  <c r="N17" i="1"/>
  <c r="K17" i="1"/>
  <c r="K16" i="1" s="1"/>
  <c r="K43" i="1" s="1"/>
  <c r="K47" i="1" s="1"/>
  <c r="H17" i="1"/>
  <c r="G17" i="1"/>
  <c r="G16" i="1" s="1"/>
  <c r="F17" i="1"/>
  <c r="E17" i="1"/>
  <c r="E16" i="1" s="1"/>
  <c r="U16" i="1"/>
  <c r="U43" i="1" s="1"/>
  <c r="U47" i="1" s="1"/>
  <c r="T16" i="1"/>
  <c r="T43" i="1" s="1"/>
  <c r="T47" i="1" s="1"/>
  <c r="S16" i="1"/>
  <c r="R16" i="1"/>
  <c r="R43" i="1" s="1"/>
  <c r="R47" i="1" s="1"/>
  <c r="Q16" i="1"/>
  <c r="Q43" i="1" s="1"/>
  <c r="Q47" i="1" s="1"/>
  <c r="P16" i="1"/>
  <c r="P43" i="1" s="1"/>
  <c r="P47" i="1" s="1"/>
  <c r="O16" i="1"/>
  <c r="N16" i="1"/>
  <c r="N43" i="1" s="1"/>
  <c r="N47" i="1" s="1"/>
  <c r="M16" i="1"/>
  <c r="M43" i="1" s="1"/>
  <c r="M47" i="1" s="1"/>
  <c r="L16" i="1"/>
  <c r="L43" i="1" s="1"/>
  <c r="L47" i="1" s="1"/>
  <c r="J16" i="1"/>
  <c r="J43" i="1" s="1"/>
  <c r="J47" i="1" s="1"/>
  <c r="I16" i="1"/>
  <c r="I43" i="1" s="1"/>
  <c r="I47" i="1" s="1"/>
  <c r="H16" i="1"/>
  <c r="F16" i="1"/>
  <c r="U13" i="1"/>
  <c r="U46" i="1" s="1"/>
  <c r="U48" i="1" s="1"/>
  <c r="U50" i="1" s="1"/>
  <c r="T13" i="1"/>
  <c r="T46" i="1" s="1"/>
  <c r="T48" i="1" s="1"/>
  <c r="S13" i="1"/>
  <c r="S46" i="1" s="1"/>
  <c r="R13" i="1"/>
  <c r="R46" i="1" s="1"/>
  <c r="R48" i="1" s="1"/>
  <c r="Q13" i="1"/>
  <c r="Q46" i="1" s="1"/>
  <c r="Q48" i="1" s="1"/>
  <c r="P13" i="1"/>
  <c r="P46" i="1" s="1"/>
  <c r="P48" i="1" s="1"/>
  <c r="O13" i="1"/>
  <c r="O46" i="1" s="1"/>
  <c r="N13" i="1"/>
  <c r="N46" i="1" s="1"/>
  <c r="N48" i="1" s="1"/>
  <c r="M13" i="1"/>
  <c r="M46" i="1" s="1"/>
  <c r="M48" i="1" s="1"/>
  <c r="L13" i="1"/>
  <c r="L46" i="1" s="1"/>
  <c r="L48" i="1" s="1"/>
  <c r="K13" i="1"/>
  <c r="K46" i="1" s="1"/>
  <c r="K48" i="1" s="1"/>
  <c r="J13" i="1"/>
  <c r="J46" i="1" s="1"/>
  <c r="J48" i="1" s="1"/>
  <c r="I13" i="1"/>
  <c r="I46" i="1" s="1"/>
  <c r="H13" i="1"/>
  <c r="G13" i="1"/>
  <c r="F13" i="1"/>
  <c r="E13" i="1"/>
  <c r="U12" i="1"/>
  <c r="G43" i="1" l="1"/>
  <c r="I48" i="1"/>
  <c r="I50" i="1" s="1"/>
  <c r="J49" i="1" s="1"/>
  <c r="J50" i="1" s="1"/>
  <c r="K49" i="1" s="1"/>
  <c r="K50" i="1" s="1"/>
  <c r="L49" i="1" s="1"/>
  <c r="L50" i="1" s="1"/>
  <c r="M49" i="1" s="1"/>
  <c r="M50" i="1" s="1"/>
  <c r="N49" i="1" s="1"/>
  <c r="N50" i="1" s="1"/>
  <c r="O49" i="1" s="1"/>
  <c r="O43" i="1"/>
  <c r="O47" i="1" s="1"/>
  <c r="O48" i="1" s="1"/>
  <c r="S43" i="1"/>
  <c r="S47" i="1" s="1"/>
  <c r="S48" i="1" s="1"/>
  <c r="E43" i="1"/>
  <c r="O50" i="1" l="1"/>
  <c r="P49" i="1" s="1"/>
  <c r="P50" i="1" s="1"/>
  <c r="Q49" i="1" s="1"/>
  <c r="Q50" i="1" s="1"/>
  <c r="R49" i="1" s="1"/>
  <c r="R50" i="1" s="1"/>
  <c r="S49" i="1" s="1"/>
  <c r="S50" i="1" s="1"/>
  <c r="T49" i="1" s="1"/>
  <c r="T50" i="1" s="1"/>
</calcChain>
</file>

<file path=xl/sharedStrings.xml><?xml version="1.0" encoding="utf-8"?>
<sst xmlns="http://schemas.openxmlformats.org/spreadsheetml/2006/main" count="44" uniqueCount="43">
  <si>
    <t>GOBERNACION DE LA PROVINCIA SANTO DOMINGO</t>
  </si>
  <si>
    <t xml:space="preserve">ESTADOS DE INGRESOS Y EGRESOS </t>
  </si>
  <si>
    <t>DEL 01  DE  MARZO    AL  31 DE MARZO  DEL  2024</t>
  </si>
  <si>
    <t>INGRESOS</t>
  </si>
  <si>
    <t>Ministerios de la Presidencias</t>
  </si>
  <si>
    <t>Ministerios de Interior y Policia ( Fondo Reponible)</t>
  </si>
  <si>
    <t>Ingresos Extrordinarios</t>
  </si>
  <si>
    <t>Transferencias entre Cuentas</t>
  </si>
  <si>
    <t>Total de Ingresos</t>
  </si>
  <si>
    <t>Egresos</t>
  </si>
  <si>
    <t>Cuenta No.</t>
  </si>
  <si>
    <t>Titulo de la Cuenta</t>
  </si>
  <si>
    <t xml:space="preserve">Servicios personales </t>
  </si>
  <si>
    <t xml:space="preserve">Sueldo Personal y nomina </t>
  </si>
  <si>
    <t>Regalia Pascual ( Sueldo 13)</t>
  </si>
  <si>
    <t>Atencion Empleados</t>
  </si>
  <si>
    <t>Aporte de Ahorro  y Descuentos Cooperativa</t>
  </si>
  <si>
    <t>Dieta a empleados</t>
  </si>
  <si>
    <t>Gastos Generales y Administrativos</t>
  </si>
  <si>
    <t>Alquiler Local</t>
  </si>
  <si>
    <t>Combustibles</t>
  </si>
  <si>
    <t>Energia  Electrica</t>
  </si>
  <si>
    <t>Otros Gastos</t>
  </si>
  <si>
    <t xml:space="preserve">Materiales Gstables </t>
  </si>
  <si>
    <t>Honorarios</t>
  </si>
  <si>
    <t>Impuesto Sobre la rentas 5%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</si>
  <si>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</si>
  <si>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</si>
  <si>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</si>
  <si>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</si>
  <si>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</si>
  <si>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Medicamentos</t>
  </si>
  <si>
    <t>Deportes</t>
  </si>
  <si>
    <t>Reparacion de Vivienda</t>
  </si>
  <si>
    <t>Estudios y Procedimientos Medico</t>
  </si>
  <si>
    <t>comunitrias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</si>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</sst>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6" xfId="0" applyFont="1" applyBorder="1" applyAlignment="1"/>
    <xf numFmtId="43" fontId="2" fillId="0" borderId="14" xfId="1" applyFont="1" applyBorder="1" applyAlignment="1"/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18" xfId="0" applyFont="1" applyBorder="1" applyAlignment="1"/>
    <xf numFmtId="43" fontId="3" fillId="0" borderId="17" xfId="1" applyFont="1" applyBorder="1" applyAlignment="1"/>
    <xf numFmtId="43" fontId="3" fillId="0" borderId="17" xfId="1" applyFont="1" applyBorder="1"/>
    <xf numFmtId="0" fontId="3" fillId="0" borderId="5" xfId="0" applyFont="1" applyBorder="1" applyAlignment="1"/>
    <xf numFmtId="0" fontId="3" fillId="0" borderId="6" xfId="0" applyFont="1" applyBorder="1" applyAlignment="1"/>
    <xf numFmtId="43" fontId="3" fillId="0" borderId="10" xfId="1" applyFont="1" applyBorder="1" applyAlignment="1"/>
    <xf numFmtId="43" fontId="3" fillId="0" borderId="10" xfId="1" applyFont="1" applyBorder="1"/>
    <xf numFmtId="0" fontId="3" fillId="0" borderId="1" xfId="0" applyFont="1" applyBorder="1" applyAlignment="1">
      <alignment horizontal="center"/>
    </xf>
    <xf numFmtId="43" fontId="3" fillId="0" borderId="4" xfId="1" applyFont="1" applyBorder="1" applyAlignment="1"/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16" fontId="2" fillId="0" borderId="19" xfId="0" applyNumberFormat="1" applyFont="1" applyBorder="1"/>
    <xf numFmtId="0" fontId="2" fillId="0" borderId="20" xfId="0" applyFont="1" applyBorder="1" applyAlignment="1"/>
    <xf numFmtId="0" fontId="2" fillId="0" borderId="21" xfId="0" applyFont="1" applyBorder="1" applyAlignment="1"/>
    <xf numFmtId="43" fontId="2" fillId="0" borderId="21" xfId="1" applyFont="1" applyBorder="1" applyAlignment="1"/>
    <xf numFmtId="43" fontId="2" fillId="0" borderId="22" xfId="1" applyFont="1" applyBorder="1" applyAlignment="1"/>
    <xf numFmtId="43" fontId="2" fillId="0" borderId="20" xfId="1" applyFont="1" applyBorder="1" applyAlignment="1"/>
    <xf numFmtId="43" fontId="2" fillId="0" borderId="23" xfId="1" applyFont="1" applyBorder="1"/>
    <xf numFmtId="43" fontId="2" fillId="0" borderId="24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6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1/Desktop/CONCILIACI&#211;N%20BANCARIA%20DE%20LA%20GOBERNACI&#211;N/ESTADOS%20DE%20INGRESOS%20Y%20EGRESOS%202024%20CUENTA%2094%20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ENERO 2024"/>
      <sheetName val="FEBRERO 2024"/>
      <sheetName val="MARZO 2024"/>
      <sheetName val="ABRIL 2024 "/>
      <sheetName val="MAYO 2024"/>
      <sheetName val="JUNIO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0">
          <cell r="U50">
            <v>0</v>
          </cell>
        </row>
      </sheetData>
      <sheetData sheetId="8">
        <row r="50">
          <cell r="U50">
            <v>318962.5</v>
          </cell>
        </row>
      </sheetData>
      <sheetData sheetId="9">
        <row r="48">
          <cell r="U48">
            <v>244264.35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5"/>
  <sheetViews>
    <sheetView tabSelected="1" view="pageBreakPreview" zoomScale="60" zoomScaleNormal="100" workbookViewId="0">
      <selection activeCell="C8" sqref="C8:D8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6.5703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1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1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45352</v>
      </c>
    </row>
    <row r="8" spans="2:21" x14ac:dyDescent="0.25">
      <c r="B8" s="7">
        <v>40101</v>
      </c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1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319637.5</v>
      </c>
    </row>
    <row r="10" spans="2:21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1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1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1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319637.5</v>
      </c>
    </row>
    <row r="14" spans="2:21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1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1" ht="18.75" thickBot="1" x14ac:dyDescent="0.3">
      <c r="B16" s="36"/>
      <c r="C16" s="37" t="s">
        <v>12</v>
      </c>
      <c r="D16" s="38"/>
      <c r="E16" s="39">
        <f>SUM(E17:E19)</f>
        <v>2057500</v>
      </c>
      <c r="F16" s="39">
        <f t="shared" ref="F16:H16" si="3">SUM(F17:F19)</f>
        <v>2053000</v>
      </c>
      <c r="G16" s="39">
        <f t="shared" si="3"/>
        <v>2058000</v>
      </c>
      <c r="H16" s="39">
        <f t="shared" si="3"/>
        <v>4038239.18</v>
      </c>
      <c r="I16" s="39">
        <f>SUM(I17:I21)</f>
        <v>2013400</v>
      </c>
      <c r="J16" s="39">
        <f t="shared" ref="J16:U16" si="4">SUM(J17:J21)</f>
        <v>1992300</v>
      </c>
      <c r="K16" s="39">
        <f t="shared" si="4"/>
        <v>1990000</v>
      </c>
      <c r="L16" s="39">
        <f t="shared" si="4"/>
        <v>2028000</v>
      </c>
      <c r="M16" s="39">
        <f t="shared" si="4"/>
        <v>2101000</v>
      </c>
      <c r="N16" s="39">
        <f t="shared" si="4"/>
        <v>2078528.56</v>
      </c>
      <c r="O16" s="39">
        <f t="shared" si="4"/>
        <v>2071200</v>
      </c>
      <c r="P16" s="39">
        <f t="shared" si="4"/>
        <v>2062800</v>
      </c>
      <c r="Q16" s="39">
        <f t="shared" si="4"/>
        <v>2145400.1</v>
      </c>
      <c r="R16" s="39">
        <f t="shared" si="4"/>
        <v>2089000</v>
      </c>
      <c r="S16" s="39">
        <f t="shared" si="4"/>
        <v>2032000</v>
      </c>
      <c r="T16" s="39">
        <f t="shared" si="4"/>
        <v>3773621.94</v>
      </c>
      <c r="U16" s="39">
        <f t="shared" si="4"/>
        <v>0</v>
      </c>
    </row>
    <row r="17" spans="2:23" ht="18.75" hidden="1" thickBot="1" x14ac:dyDescent="0.3">
      <c r="B17" s="40"/>
      <c r="C17" s="41" t="s">
        <v>13</v>
      </c>
      <c r="D17" s="42"/>
      <c r="E17" s="43">
        <f>1950000+10000+7500+8000+20000+10000+15000+25000+12000</f>
        <v>2057500</v>
      </c>
      <c r="F17" s="43">
        <f>1971000+10000+20000+15000+12000+25000</f>
        <v>2053000</v>
      </c>
      <c r="G17" s="43">
        <f>1996000+15000+12000+25000+10000</f>
        <v>2058000</v>
      </c>
      <c r="H17" s="43">
        <f>25000+15000+12000+23395.5+3750+6666.67+15000+13842.5+19152.54+16666.64+12000+15000+1840250+1961586.33+10000</f>
        <v>3989310.18</v>
      </c>
      <c r="I17" s="43">
        <v>2007000</v>
      </c>
      <c r="J17" s="43">
        <v>1985500</v>
      </c>
      <c r="K17" s="43">
        <f>1918000+10000+10000+15000+12000+25000</f>
        <v>1990000</v>
      </c>
      <c r="L17" s="43">
        <v>2028000</v>
      </c>
      <c r="M17" s="43">
        <v>2093000</v>
      </c>
      <c r="N17" s="44">
        <f>2068528.56+10000</f>
        <v>2078528.56</v>
      </c>
      <c r="O17" s="44">
        <v>2064000</v>
      </c>
      <c r="P17" s="44">
        <f>1962000+10000+17000+13800+10000+10000+25000+15000</f>
        <v>2062800</v>
      </c>
      <c r="Q17" s="44">
        <f>2024187.1+10000+20000</f>
        <v>2054187.1</v>
      </c>
      <c r="R17" s="44">
        <f>2005220.75+10000</f>
        <v>2015220.75</v>
      </c>
      <c r="S17" s="44">
        <v>1952820.75</v>
      </c>
      <c r="T17" s="44">
        <v>1944002.97</v>
      </c>
      <c r="U17" s="44">
        <v>0</v>
      </c>
    </row>
    <row r="18" spans="2:23" ht="18.75" hidden="1" thickBot="1" x14ac:dyDescent="0.3">
      <c r="B18" s="40"/>
      <c r="C18" s="41" t="s">
        <v>14</v>
      </c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4"/>
      <c r="S18" s="44"/>
      <c r="T18" s="44">
        <v>1741624.94</v>
      </c>
      <c r="U18" s="44"/>
    </row>
    <row r="19" spans="2:23" ht="18.75" hidden="1" thickBot="1" x14ac:dyDescent="0.3">
      <c r="B19" s="40"/>
      <c r="C19" s="41" t="s">
        <v>15</v>
      </c>
      <c r="D19" s="42"/>
      <c r="E19" s="43"/>
      <c r="F19" s="43"/>
      <c r="G19" s="43"/>
      <c r="H19" s="43">
        <v>48929</v>
      </c>
      <c r="I19" s="43"/>
      <c r="J19" s="43"/>
      <c r="K19" s="43"/>
      <c r="L19" s="43"/>
      <c r="M19" s="43"/>
      <c r="N19" s="44"/>
      <c r="O19" s="44"/>
      <c r="P19" s="44"/>
      <c r="Q19" s="44"/>
      <c r="R19" s="44"/>
      <c r="S19" s="44"/>
      <c r="T19" s="44"/>
      <c r="U19" s="44">
        <v>0</v>
      </c>
    </row>
    <row r="20" spans="2:23" ht="18.75" hidden="1" thickBot="1" x14ac:dyDescent="0.3">
      <c r="B20" s="40"/>
      <c r="C20" s="45" t="s">
        <v>16</v>
      </c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48"/>
      <c r="P20" s="48"/>
      <c r="Q20" s="48">
        <v>84813</v>
      </c>
      <c r="R20" s="48">
        <v>73779.25</v>
      </c>
      <c r="S20" s="13">
        <v>79179.25</v>
      </c>
      <c r="T20" s="13">
        <v>87994.03</v>
      </c>
      <c r="U20" s="13"/>
    </row>
    <row r="21" spans="2:23" ht="18.75" hidden="1" thickBot="1" x14ac:dyDescent="0.3">
      <c r="B21" s="49"/>
      <c r="C21" s="45" t="s">
        <v>17</v>
      </c>
      <c r="D21" s="46"/>
      <c r="E21" s="50"/>
      <c r="F21" s="50"/>
      <c r="G21" s="50"/>
      <c r="H21" s="50"/>
      <c r="I21" s="50">
        <v>6400</v>
      </c>
      <c r="J21" s="50">
        <v>6800</v>
      </c>
      <c r="K21" s="50"/>
      <c r="L21" s="50"/>
      <c r="M21" s="50">
        <v>8000</v>
      </c>
      <c r="N21" s="19"/>
      <c r="O21" s="19">
        <v>7200</v>
      </c>
      <c r="P21" s="19"/>
      <c r="Q21" s="48">
        <v>6400</v>
      </c>
      <c r="R21" s="48"/>
      <c r="S21" s="48"/>
      <c r="T21" s="48"/>
      <c r="U21" s="48">
        <v>0</v>
      </c>
    </row>
    <row r="22" spans="2:23" ht="18.75" thickBot="1" x14ac:dyDescent="0.3">
      <c r="B22" s="51"/>
      <c r="C22" s="52" t="s">
        <v>18</v>
      </c>
      <c r="D22" s="53"/>
      <c r="E22" s="54">
        <f>SUM(E23:E34)</f>
        <v>949022.06999999983</v>
      </c>
      <c r="F22" s="54">
        <f>SUM(F23:F34)</f>
        <v>895374.01</v>
      </c>
      <c r="G22" s="54">
        <f>SUM(G23:G34)</f>
        <v>673507.65</v>
      </c>
      <c r="H22" s="54">
        <f>SUM(H23:H34)</f>
        <v>1916367.7300000002</v>
      </c>
      <c r="I22" s="54">
        <f>SUM(I23:I34)</f>
        <v>1449972.0399999998</v>
      </c>
      <c r="J22" s="54">
        <f>SUM(J23:J35)</f>
        <v>1376240.74</v>
      </c>
      <c r="K22" s="54">
        <f t="shared" ref="K22:T22" si="5">SUM(K23:K35)</f>
        <v>1129708.0899999999</v>
      </c>
      <c r="L22" s="54">
        <f t="shared" si="5"/>
        <v>1082707.29</v>
      </c>
      <c r="M22" s="54">
        <f t="shared" si="5"/>
        <v>907486.11</v>
      </c>
      <c r="N22" s="54">
        <f t="shared" si="5"/>
        <v>870540.75</v>
      </c>
      <c r="O22" s="54">
        <f t="shared" si="5"/>
        <v>1001894.3200000001</v>
      </c>
      <c r="P22" s="54">
        <f t="shared" si="5"/>
        <v>953464.08000000007</v>
      </c>
      <c r="Q22" s="54">
        <f t="shared" si="5"/>
        <v>951623.52999999991</v>
      </c>
      <c r="R22" s="54">
        <f t="shared" si="5"/>
        <v>1060568.9100000001</v>
      </c>
      <c r="S22" s="54">
        <f t="shared" si="5"/>
        <v>360032.56</v>
      </c>
      <c r="T22" s="54">
        <f t="shared" si="5"/>
        <v>1839812.6099999999</v>
      </c>
      <c r="U22" s="54">
        <f>SUM(U23:U35)</f>
        <v>675</v>
      </c>
      <c r="W22" s="55"/>
    </row>
    <row r="23" spans="2:23" hidden="1" x14ac:dyDescent="0.25">
      <c r="B23" s="49"/>
      <c r="C23" s="41" t="s">
        <v>19</v>
      </c>
      <c r="D23" s="42"/>
      <c r="E23" s="43">
        <f>382800+13000+13000+12000+14000+12000+7000+7000+8000+4000+12000+14000+18000</f>
        <v>516800</v>
      </c>
      <c r="F23" s="43">
        <f>382800+13000+13000+12000+14000+12000+7000+7000+8000+4000+12000+14000+18000</f>
        <v>516800</v>
      </c>
      <c r="G23" s="43">
        <f>382800+13000+13000+12000+14000+12000+7000+7000+8000+4000+12000+14000+18000</f>
        <v>516800</v>
      </c>
      <c r="H23" s="43">
        <f>509800+7000</f>
        <v>516800</v>
      </c>
      <c r="I23" s="43">
        <v>1028400</v>
      </c>
      <c r="J23" s="43">
        <f>382800+14300+18000+12000+15400+14400+8000+7700+5000+14300+8400+12000</f>
        <v>512300</v>
      </c>
      <c r="K23" s="43">
        <v>512300</v>
      </c>
      <c r="L23" s="43">
        <f>382800+14300+14300+14400+12000+8000+7700+8000+5000+12000+15400+18000</f>
        <v>511900</v>
      </c>
      <c r="M23" s="43">
        <v>512700</v>
      </c>
      <c r="N23" s="44">
        <v>500700</v>
      </c>
      <c r="O23" s="44">
        <v>500300</v>
      </c>
      <c r="P23" s="44">
        <f>382800+14300+7700+8400+15400+18000+12000+8000+14300+14400+5000+40000</f>
        <v>540300</v>
      </c>
      <c r="Q23" s="44">
        <v>520300</v>
      </c>
      <c r="R23" s="44">
        <v>520300</v>
      </c>
      <c r="S23" s="44"/>
      <c r="T23" s="44">
        <v>1051000</v>
      </c>
      <c r="U23" s="44"/>
    </row>
    <row r="24" spans="2:23" hidden="1" x14ac:dyDescent="0.25">
      <c r="B24" s="49"/>
      <c r="C24" s="56" t="s">
        <v>20</v>
      </c>
      <c r="D24" s="57"/>
      <c r="E24" s="58">
        <v>126850</v>
      </c>
      <c r="F24" s="58">
        <f>129231+142500</f>
        <v>271731</v>
      </c>
      <c r="G24" s="58">
        <v>0</v>
      </c>
      <c r="H24" s="58">
        <f>142500</f>
        <v>142500</v>
      </c>
      <c r="I24" s="58">
        <v>142500</v>
      </c>
      <c r="J24" s="58">
        <v>142500</v>
      </c>
      <c r="K24" s="58">
        <v>142500</v>
      </c>
      <c r="L24" s="58">
        <v>142500</v>
      </c>
      <c r="M24" s="58">
        <v>142500</v>
      </c>
      <c r="N24" s="13">
        <v>142500</v>
      </c>
      <c r="O24" s="13">
        <v>142500</v>
      </c>
      <c r="P24" s="13">
        <v>142500</v>
      </c>
      <c r="Q24" s="13">
        <v>142500</v>
      </c>
      <c r="R24" s="13">
        <v>142500</v>
      </c>
      <c r="S24" s="13">
        <v>142500</v>
      </c>
      <c r="T24" s="13">
        <v>142500</v>
      </c>
      <c r="U24" s="44"/>
    </row>
    <row r="25" spans="2:23" hidden="1" x14ac:dyDescent="0.25">
      <c r="B25" s="49"/>
      <c r="C25" s="56" t="s">
        <v>21</v>
      </c>
      <c r="D25" s="57"/>
      <c r="E25" s="58">
        <f>2489.12+14798.04+8756.43</f>
        <v>26043.59</v>
      </c>
      <c r="F25" s="58">
        <f>13523.87+10353.32+1718.13+7200</f>
        <v>32795.320000000007</v>
      </c>
      <c r="G25" s="58">
        <v>14833.93</v>
      </c>
      <c r="H25" s="58">
        <f>1910.47+37485.36+52669.49+950000+9672.8+8546.25+12988.37+200.04</f>
        <v>1073472.7800000003</v>
      </c>
      <c r="I25" s="58">
        <v>14853.89</v>
      </c>
      <c r="J25" s="58">
        <v>44870.85</v>
      </c>
      <c r="K25" s="58">
        <f>6543.47+5495+14990+2808+14977</f>
        <v>44813.47</v>
      </c>
      <c r="L25" s="58">
        <v>14754</v>
      </c>
      <c r="M25" s="58">
        <v>43246</v>
      </c>
      <c r="N25" s="13">
        <f>7430.23+3276+14858+3276.2</f>
        <v>28840.43</v>
      </c>
      <c r="O25" s="13">
        <f>12867+12020+8537</f>
        <v>33424</v>
      </c>
      <c r="P25" s="13">
        <f>10125+13746</f>
        <v>23871</v>
      </c>
      <c r="Q25" s="13">
        <f>11501+14633+2227</f>
        <v>28361</v>
      </c>
      <c r="R25" s="13">
        <f>2100+14146+12727+4297</f>
        <v>33270</v>
      </c>
      <c r="S25" s="13">
        <f>14925+14905-0.14</f>
        <v>29829.86</v>
      </c>
      <c r="T25" s="13">
        <f>29997+5000+3</f>
        <v>35000</v>
      </c>
      <c r="U25" s="44"/>
    </row>
    <row r="26" spans="2:23" x14ac:dyDescent="0.25">
      <c r="B26" s="49"/>
      <c r="C26" s="56" t="s">
        <v>22</v>
      </c>
      <c r="D26" s="57"/>
      <c r="E26" s="58">
        <v>85988.56</v>
      </c>
      <c r="F26" s="58"/>
      <c r="G26" s="58"/>
      <c r="H26" s="58">
        <v>27639.8</v>
      </c>
      <c r="I26" s="58">
        <v>1910.47</v>
      </c>
      <c r="J26" s="58"/>
      <c r="K26" s="58"/>
      <c r="L26" s="58"/>
      <c r="M26" s="58"/>
      <c r="N26" s="13">
        <v>0</v>
      </c>
      <c r="O26" s="13">
        <f>19760+14838.43+3220</f>
        <v>37818.43</v>
      </c>
      <c r="P26" s="13"/>
      <c r="Q26" s="13"/>
      <c r="R26" s="13"/>
      <c r="S26" s="13"/>
      <c r="T26" s="13">
        <f>23479.99+55935+62150</f>
        <v>141564.99</v>
      </c>
      <c r="U26" s="44"/>
    </row>
    <row r="27" spans="2:23" x14ac:dyDescent="0.25">
      <c r="B27" s="49"/>
      <c r="C27" s="56" t="s">
        <v>23</v>
      </c>
      <c r="D27" s="57"/>
      <c r="E27" s="58">
        <f>3220.5+32881.79</f>
        <v>36102.29</v>
      </c>
      <c r="F27" s="58">
        <v>8136</v>
      </c>
      <c r="G27" s="58">
        <v>3164</v>
      </c>
      <c r="H27" s="58">
        <f>6400+14853.89</f>
        <v>21253.89</v>
      </c>
      <c r="I27" s="58"/>
      <c r="J27" s="58"/>
      <c r="K27" s="58">
        <v>59181.46</v>
      </c>
      <c r="L27" s="58"/>
      <c r="M27" s="58"/>
      <c r="N27" s="13">
        <v>0</v>
      </c>
      <c r="O27" s="13">
        <v>12449.15</v>
      </c>
      <c r="P27" s="13">
        <v>33397.18</v>
      </c>
      <c r="Q27" s="13">
        <v>6687.11</v>
      </c>
      <c r="R27" s="13"/>
      <c r="S27" s="13"/>
      <c r="T27" s="13">
        <f>7882+26994+24246.16+45380.99+20769.97+29035</f>
        <v>154308.12</v>
      </c>
      <c r="U27" s="44"/>
    </row>
    <row r="28" spans="2:23" x14ac:dyDescent="0.25">
      <c r="B28" s="49"/>
      <c r="C28" s="56" t="s">
        <v>24</v>
      </c>
      <c r="D28" s="57"/>
      <c r="E28" s="58">
        <v>10000</v>
      </c>
      <c r="F28" s="58">
        <v>10000</v>
      </c>
      <c r="G28" s="58">
        <v>10000</v>
      </c>
      <c r="H28" s="58">
        <v>10000</v>
      </c>
      <c r="I28" s="58">
        <v>20000</v>
      </c>
      <c r="J28" s="58">
        <v>10000</v>
      </c>
      <c r="K28" s="58">
        <v>10000</v>
      </c>
      <c r="L28" s="58">
        <v>10000</v>
      </c>
      <c r="M28" s="58">
        <v>10000</v>
      </c>
      <c r="N28" s="58">
        <v>10000</v>
      </c>
      <c r="O28" s="58">
        <f>10000+30000+2500</f>
        <v>42500</v>
      </c>
      <c r="P28" s="58">
        <v>16000</v>
      </c>
      <c r="Q28" s="58">
        <v>10000</v>
      </c>
      <c r="R28" s="58">
        <f>10000+8140</f>
        <v>18140</v>
      </c>
      <c r="S28" s="58">
        <v>8260</v>
      </c>
      <c r="T28" s="58">
        <f>10000+33250+10000</f>
        <v>53250</v>
      </c>
      <c r="U28" s="44"/>
    </row>
    <row r="29" spans="2:23" x14ac:dyDescent="0.25">
      <c r="B29" s="49"/>
      <c r="C29" s="59" t="s">
        <v>25</v>
      </c>
      <c r="D29" s="59"/>
      <c r="E29" s="58">
        <v>14618.33</v>
      </c>
      <c r="F29" s="58">
        <v>22186.69</v>
      </c>
      <c r="G29" s="58">
        <v>11128.33</v>
      </c>
      <c r="H29" s="58">
        <v>22225.75</v>
      </c>
      <c r="I29" s="58">
        <v>22225.75</v>
      </c>
      <c r="J29" s="58">
        <v>223151.38</v>
      </c>
      <c r="K29" s="58">
        <v>16874.740000000002</v>
      </c>
      <c r="L29" s="58">
        <v>155087.79999999999</v>
      </c>
      <c r="M29" s="58">
        <v>16281.24</v>
      </c>
      <c r="N29" s="13">
        <v>13790.96</v>
      </c>
      <c r="O29" s="13">
        <v>12511.7</v>
      </c>
      <c r="P29" s="13">
        <v>24670.02</v>
      </c>
      <c r="Q29" s="13">
        <v>24498.959999999999</v>
      </c>
      <c r="R29" s="13">
        <v>12406.15</v>
      </c>
      <c r="S29" s="13">
        <v>16908.599999999999</v>
      </c>
      <c r="T29" s="13">
        <v>10190</v>
      </c>
      <c r="U29" s="44"/>
    </row>
    <row r="30" spans="2:23" x14ac:dyDescent="0.25">
      <c r="B30" s="49"/>
      <c r="C30" s="59" t="s">
        <v>26</v>
      </c>
      <c r="D30" s="59"/>
      <c r="E30" s="58">
        <f>83337.5+37299.57</f>
        <v>120637.07</v>
      </c>
      <c r="F30" s="58">
        <f>14651.68+14125</f>
        <v>28776.68</v>
      </c>
      <c r="G30" s="58">
        <v>111700.5</v>
      </c>
      <c r="H30" s="58">
        <v>37912.46</v>
      </c>
      <c r="I30" s="58">
        <v>37912.46</v>
      </c>
      <c r="J30" s="58">
        <v>71726.28</v>
      </c>
      <c r="K30" s="58">
        <f>4350+28815+64687.7+1500+59899.6+1000.35</f>
        <v>160252.65</v>
      </c>
      <c r="L30" s="58">
        <v>84750</v>
      </c>
      <c r="M30" s="58">
        <v>9850</v>
      </c>
      <c r="N30" s="13">
        <v>2869</v>
      </c>
      <c r="O30" s="13">
        <f>10170+20636.86</f>
        <v>30806.86</v>
      </c>
      <c r="P30" s="13"/>
      <c r="Q30" s="13">
        <v>3000</v>
      </c>
      <c r="R30" s="13">
        <f>133780.51+3800+3000+6330+9300+3540</f>
        <v>159750.51</v>
      </c>
      <c r="S30" s="13"/>
      <c r="T30" s="13">
        <f>5876+3000+6030.2</f>
        <v>14906.2</v>
      </c>
      <c r="U30" s="44"/>
    </row>
    <row r="31" spans="2:23" x14ac:dyDescent="0.25">
      <c r="B31" s="60"/>
      <c r="C31" s="59" t="s">
        <v>27</v>
      </c>
      <c r="D31" s="59"/>
      <c r="E31" s="58"/>
      <c r="F31" s="58"/>
      <c r="G31" s="58"/>
      <c r="H31" s="58">
        <v>34699.25</v>
      </c>
      <c r="I31" s="58">
        <v>34899.25</v>
      </c>
      <c r="J31" s="58"/>
      <c r="K31" s="58"/>
      <c r="L31" s="58">
        <v>0</v>
      </c>
      <c r="M31" s="58">
        <v>2435.98</v>
      </c>
      <c r="N31" s="13"/>
      <c r="O31" s="13"/>
      <c r="P31" s="13"/>
      <c r="Q31" s="13"/>
      <c r="R31" s="13"/>
      <c r="S31" s="13"/>
      <c r="T31" s="13">
        <v>34899.25</v>
      </c>
      <c r="U31" s="44"/>
    </row>
    <row r="32" spans="2:23" x14ac:dyDescent="0.25">
      <c r="B32" s="60"/>
      <c r="C32" s="59" t="s">
        <v>28</v>
      </c>
      <c r="D32" s="59"/>
      <c r="E32" s="58">
        <v>6939</v>
      </c>
      <c r="F32" s="58"/>
      <c r="G32" s="58"/>
      <c r="H32" s="58">
        <f>15255+7571</f>
        <v>22826</v>
      </c>
      <c r="I32" s="58">
        <f>124677.1+9672.8</f>
        <v>134349.9</v>
      </c>
      <c r="J32" s="58">
        <f>12449.15+8000+10396+17176</f>
        <v>48021.15</v>
      </c>
      <c r="K32" s="58">
        <f>6336.3+9492</f>
        <v>15828.3</v>
      </c>
      <c r="L32" s="58">
        <v>0</v>
      </c>
      <c r="M32" s="58"/>
      <c r="N32" s="13">
        <v>8390.73</v>
      </c>
      <c r="O32" s="13">
        <f>7119+6835+4959</f>
        <v>18913</v>
      </c>
      <c r="P32" s="13">
        <v>8757</v>
      </c>
      <c r="Q32" s="13">
        <f>35000+4864+8139.83+5361</f>
        <v>53364.83</v>
      </c>
      <c r="R32" s="13">
        <f>4000+5600</f>
        <v>9600</v>
      </c>
      <c r="S32" s="13"/>
      <c r="T32" s="13">
        <v>24040</v>
      </c>
      <c r="U32" s="44"/>
    </row>
    <row r="33" spans="2:21" x14ac:dyDescent="0.25">
      <c r="B33" s="49"/>
      <c r="C33" s="61" t="s">
        <v>29</v>
      </c>
      <c r="D33" s="61"/>
      <c r="E33" s="50"/>
      <c r="F33" s="50"/>
      <c r="G33" s="50"/>
      <c r="H33" s="50"/>
      <c r="I33" s="50"/>
      <c r="J33" s="50"/>
      <c r="K33" s="50"/>
      <c r="L33" s="50">
        <v>0</v>
      </c>
      <c r="M33" s="50">
        <v>6640</v>
      </c>
      <c r="N33" s="19">
        <v>0</v>
      </c>
      <c r="O33" s="19">
        <v>6640</v>
      </c>
      <c r="P33" s="19">
        <v>0</v>
      </c>
      <c r="Q33" s="13"/>
      <c r="R33" s="13"/>
      <c r="S33" s="13"/>
      <c r="T33" s="13">
        <v>6640</v>
      </c>
      <c r="U33" s="44"/>
    </row>
    <row r="34" spans="2:21" x14ac:dyDescent="0.25">
      <c r="B34" s="49"/>
      <c r="C34" s="59" t="s">
        <v>30</v>
      </c>
      <c r="D34" s="59"/>
      <c r="E34" s="58">
        <f>4678.9+364.33</f>
        <v>5043.2299999999996</v>
      </c>
      <c r="F34" s="58">
        <f>4569.97+378.35</f>
        <v>4948.3200000000006</v>
      </c>
      <c r="G34" s="58">
        <f>5162.46+718.43</f>
        <v>5880.89</v>
      </c>
      <c r="H34" s="58">
        <f>6655.08+382.72</f>
        <v>7037.8</v>
      </c>
      <c r="I34" s="58">
        <v>12920.32</v>
      </c>
      <c r="J34" s="58">
        <v>5496.08</v>
      </c>
      <c r="K34" s="58">
        <v>8869.9699999999993</v>
      </c>
      <c r="L34" s="58">
        <v>4627.99</v>
      </c>
      <c r="M34" s="58">
        <v>4745.3900000000003</v>
      </c>
      <c r="N34" s="13">
        <v>4362.13</v>
      </c>
      <c r="O34" s="13">
        <v>4943.68</v>
      </c>
      <c r="P34" s="13">
        <v>4881.38</v>
      </c>
      <c r="Q34" s="13">
        <v>3824.13</v>
      </c>
      <c r="R34" s="13">
        <v>5514.75</v>
      </c>
      <c r="S34" s="13">
        <v>3446.6</v>
      </c>
      <c r="T34" s="13">
        <v>12426.55</v>
      </c>
      <c r="U34" s="13">
        <v>675</v>
      </c>
    </row>
    <row r="35" spans="2:21" x14ac:dyDescent="0.25">
      <c r="B35" s="49"/>
      <c r="C35" s="59" t="s">
        <v>7</v>
      </c>
      <c r="D35" s="59"/>
      <c r="E35" s="58"/>
      <c r="F35" s="58"/>
      <c r="G35" s="58"/>
      <c r="H35" s="58"/>
      <c r="I35" s="58"/>
      <c r="J35" s="58">
        <f>159087.5+159087.5</f>
        <v>318175</v>
      </c>
      <c r="K35" s="58">
        <v>159087.5</v>
      </c>
      <c r="L35" s="58">
        <v>159087.5</v>
      </c>
      <c r="M35" s="58">
        <v>159087.5</v>
      </c>
      <c r="N35" s="58">
        <v>159087.5</v>
      </c>
      <c r="O35" s="58">
        <v>159087.5</v>
      </c>
      <c r="P35" s="58">
        <v>159087.5</v>
      </c>
      <c r="Q35" s="58">
        <v>159087.5</v>
      </c>
      <c r="R35" s="58">
        <v>159087.5</v>
      </c>
      <c r="S35" s="58">
        <v>159087.5</v>
      </c>
      <c r="T35" s="58">
        <v>159087.5</v>
      </c>
      <c r="U35" s="13"/>
    </row>
    <row r="36" spans="2:21" ht="18.75" thickBot="1" x14ac:dyDescent="0.3">
      <c r="B36" s="62"/>
      <c r="C36" s="63"/>
      <c r="D36" s="64"/>
      <c r="E36" s="65">
        <f>SUM(E37:E41)</f>
        <v>154861.62</v>
      </c>
      <c r="F36" s="65">
        <f t="shared" ref="F36:T36" si="6">SUM(F37:F41)</f>
        <v>105037.38</v>
      </c>
      <c r="G36" s="65">
        <f t="shared" si="6"/>
        <v>93342.59</v>
      </c>
      <c r="H36" s="65">
        <f t="shared" si="6"/>
        <v>4693720.07</v>
      </c>
      <c r="I36" s="65">
        <f t="shared" si="6"/>
        <v>5643720.0700000012</v>
      </c>
      <c r="J36" s="65">
        <f t="shared" si="6"/>
        <v>30254.66</v>
      </c>
      <c r="K36" s="65">
        <f t="shared" si="6"/>
        <v>2921384.58</v>
      </c>
      <c r="L36" s="65">
        <f t="shared" si="6"/>
        <v>39963.54</v>
      </c>
      <c r="M36" s="65">
        <f t="shared" si="6"/>
        <v>77020.44</v>
      </c>
      <c r="N36" s="66">
        <f t="shared" si="6"/>
        <v>35109.9</v>
      </c>
      <c r="O36" s="67">
        <f t="shared" si="6"/>
        <v>288880.54000000004</v>
      </c>
      <c r="P36" s="65">
        <f t="shared" si="6"/>
        <v>282783.40000000002</v>
      </c>
      <c r="Q36" s="65">
        <f t="shared" si="6"/>
        <v>38176.51</v>
      </c>
      <c r="R36" s="65">
        <f t="shared" si="6"/>
        <v>0</v>
      </c>
      <c r="S36" s="65">
        <f t="shared" si="6"/>
        <v>0</v>
      </c>
      <c r="T36" s="65">
        <f t="shared" si="6"/>
        <v>2873986.96</v>
      </c>
      <c r="U36" s="68">
        <v>0</v>
      </c>
    </row>
    <row r="37" spans="2:21" hidden="1" x14ac:dyDescent="0.25">
      <c r="B37" s="40"/>
      <c r="C37" s="41" t="s">
        <v>31</v>
      </c>
      <c r="D37" s="42"/>
      <c r="E37" s="43">
        <f>4631.25+1609.1+4383.52+8558.55+12806.8+9120</f>
        <v>41109.22</v>
      </c>
      <c r="F37" s="43">
        <f>8932.56+5222.43+3244.25+15347.31+2593.5+7891.65+5922.75+6995.47+5744.46+1820.48+2648.41</f>
        <v>66363.27</v>
      </c>
      <c r="G37" s="43">
        <v>9044.59</v>
      </c>
      <c r="H37" s="43"/>
      <c r="I37" s="43">
        <v>0</v>
      </c>
      <c r="J37" s="43">
        <v>30254.66</v>
      </c>
      <c r="K37" s="43">
        <v>33558.69</v>
      </c>
      <c r="L37" s="43">
        <v>39963.54</v>
      </c>
      <c r="M37" s="43">
        <v>24312.85</v>
      </c>
      <c r="N37" s="44">
        <f>26213.53</f>
        <v>26213.53</v>
      </c>
      <c r="O37" s="44">
        <f>23597.96+2475.37</f>
        <v>26073.329999999998</v>
      </c>
      <c r="P37" s="44"/>
      <c r="Q37" s="44">
        <f>33781.8+4394.71</f>
        <v>38176.51</v>
      </c>
      <c r="R37" s="44"/>
      <c r="S37" s="44"/>
      <c r="T37" s="44">
        <v>4351.96</v>
      </c>
      <c r="U37" s="44"/>
    </row>
    <row r="38" spans="2:21" hidden="1" x14ac:dyDescent="0.25">
      <c r="B38" s="49"/>
      <c r="C38" s="56" t="s">
        <v>32</v>
      </c>
      <c r="D38" s="57"/>
      <c r="E38" s="58">
        <v>21696</v>
      </c>
      <c r="F38" s="58">
        <v>7627.5</v>
      </c>
      <c r="G38" s="58">
        <f>32883+23730</f>
        <v>56613</v>
      </c>
      <c r="H38" s="58"/>
      <c r="I38" s="58"/>
      <c r="J38" s="58"/>
      <c r="K38" s="58"/>
      <c r="L38" s="58">
        <v>0</v>
      </c>
      <c r="M38" s="58">
        <v>28575.59</v>
      </c>
      <c r="N38" s="13">
        <v>8896.3700000000008</v>
      </c>
      <c r="O38" s="13"/>
      <c r="P38" s="13">
        <f>17553.3+38137.95+0.5</f>
        <v>55691.75</v>
      </c>
      <c r="Q38" s="13"/>
      <c r="R38" s="13"/>
      <c r="S38" s="13"/>
      <c r="T38" s="13"/>
      <c r="U38" s="44"/>
    </row>
    <row r="39" spans="2:21" hidden="1" x14ac:dyDescent="0.25">
      <c r="B39" s="49"/>
      <c r="C39" s="56" t="s">
        <v>33</v>
      </c>
      <c r="D39" s="57"/>
      <c r="E39" s="58">
        <v>54556.4</v>
      </c>
      <c r="F39" s="58">
        <v>10246.61</v>
      </c>
      <c r="G39" s="58"/>
      <c r="H39" s="58"/>
      <c r="I39" s="58"/>
      <c r="J39" s="58"/>
      <c r="K39" s="58"/>
      <c r="L39" s="58"/>
      <c r="M39" s="58"/>
      <c r="N39" s="13"/>
      <c r="O39" s="13"/>
      <c r="P39" s="13"/>
      <c r="Q39" s="13"/>
      <c r="R39" s="13"/>
      <c r="S39" s="13"/>
      <c r="T39" s="13"/>
      <c r="U39" s="44"/>
    </row>
    <row r="40" spans="2:21" hidden="1" x14ac:dyDescent="0.25">
      <c r="B40" s="49"/>
      <c r="C40" s="56" t="s">
        <v>34</v>
      </c>
      <c r="D40" s="57"/>
      <c r="E40" s="58">
        <v>37500</v>
      </c>
      <c r="F40" s="58">
        <v>20800</v>
      </c>
      <c r="G40" s="58">
        <v>27685</v>
      </c>
      <c r="H40" s="58"/>
      <c r="I40" s="58">
        <v>0</v>
      </c>
      <c r="J40" s="58"/>
      <c r="K40" s="58">
        <v>18324.55</v>
      </c>
      <c r="L40" s="58"/>
      <c r="M40" s="58"/>
      <c r="N40" s="13"/>
      <c r="O40" s="13"/>
      <c r="P40" s="13"/>
      <c r="Q40" s="13"/>
      <c r="R40" s="13"/>
      <c r="S40" s="13"/>
      <c r="T40" s="13"/>
      <c r="U40" s="44"/>
    </row>
    <row r="41" spans="2:21" ht="18.75" hidden="1" thickBot="1" x14ac:dyDescent="0.3">
      <c r="B41" s="49"/>
      <c r="C41" s="56" t="s">
        <v>35</v>
      </c>
      <c r="D41" s="57"/>
      <c r="E41" s="25"/>
      <c r="F41" s="25"/>
      <c r="G41" s="25">
        <v>0</v>
      </c>
      <c r="H41" s="14">
        <v>4693720.07</v>
      </c>
      <c r="I41" s="14">
        <f>950000+394566.09+339551.57+339551.57+339551.57+339551.57+339551.57+339551.57+282730.57+282730.57+282730.57+282730.57+282730.57+282730.57+282730.57+282730.57</f>
        <v>5643720.0700000012</v>
      </c>
      <c r="J41" s="14"/>
      <c r="K41" s="14">
        <f>2829281+40220.34</f>
        <v>2869501.34</v>
      </c>
      <c r="L41" s="14">
        <v>0</v>
      </c>
      <c r="M41" s="25">
        <v>24132</v>
      </c>
      <c r="N41" s="26"/>
      <c r="O41" s="26">
        <v>262807.21000000002</v>
      </c>
      <c r="P41" s="26">
        <f>67646.77+126104.17+15000+9475+8865.71</f>
        <v>227091.65</v>
      </c>
      <c r="Q41" s="26"/>
      <c r="R41" s="26"/>
      <c r="S41" s="26"/>
      <c r="T41" s="26">
        <v>2869635</v>
      </c>
      <c r="U41" s="69"/>
    </row>
    <row r="42" spans="2:21" ht="18.75" thickBot="1" x14ac:dyDescent="0.3">
      <c r="B42" s="70"/>
      <c r="C42" s="71"/>
      <c r="D42" s="71"/>
      <c r="E42" s="72"/>
      <c r="F42" s="72"/>
      <c r="G42" s="72"/>
      <c r="H42" s="73"/>
      <c r="I42" s="73"/>
      <c r="J42" s="73"/>
      <c r="K42" s="73"/>
      <c r="L42" s="73"/>
      <c r="M42" s="72"/>
      <c r="N42" s="74"/>
      <c r="O42" s="74"/>
      <c r="P42" s="74"/>
      <c r="Q42" s="74"/>
      <c r="R42" s="74"/>
      <c r="S42" s="74"/>
      <c r="T42" s="74"/>
      <c r="U42" s="74"/>
    </row>
    <row r="43" spans="2:21" ht="18.75" thickBot="1" x14ac:dyDescent="0.3">
      <c r="B43" s="75"/>
      <c r="C43" s="76" t="s">
        <v>36</v>
      </c>
      <c r="D43" s="77"/>
      <c r="E43" s="30">
        <f>+E36+E22+E16</f>
        <v>3161383.69</v>
      </c>
      <c r="F43" s="30">
        <f>+F36+F22+F16</f>
        <v>3053411.39</v>
      </c>
      <c r="G43" s="30">
        <f>+G36+G22+G16</f>
        <v>2824850.24</v>
      </c>
      <c r="H43" s="30">
        <f>+H36+H22+H16</f>
        <v>10648326.98</v>
      </c>
      <c r="I43" s="30">
        <f t="shared" ref="I43:U43" si="7">+I16+I22+I36</f>
        <v>9107092.1100000013</v>
      </c>
      <c r="J43" s="30">
        <f t="shared" si="7"/>
        <v>3398795.4000000004</v>
      </c>
      <c r="K43" s="30">
        <f t="shared" si="7"/>
        <v>6041092.6699999999</v>
      </c>
      <c r="L43" s="30">
        <f t="shared" si="7"/>
        <v>3150670.83</v>
      </c>
      <c r="M43" s="30">
        <f t="shared" si="7"/>
        <v>3085506.55</v>
      </c>
      <c r="N43" s="30">
        <f t="shared" si="7"/>
        <v>2984179.21</v>
      </c>
      <c r="O43" s="30">
        <f t="shared" si="7"/>
        <v>3361974.8600000003</v>
      </c>
      <c r="P43" s="30">
        <f t="shared" si="7"/>
        <v>3299047.48</v>
      </c>
      <c r="Q43" s="30">
        <f t="shared" si="7"/>
        <v>3135200.1399999997</v>
      </c>
      <c r="R43" s="30">
        <f t="shared" si="7"/>
        <v>3149568.91</v>
      </c>
      <c r="S43" s="30">
        <f t="shared" si="7"/>
        <v>2392032.56</v>
      </c>
      <c r="T43" s="30">
        <f t="shared" si="7"/>
        <v>8487421.5099999998</v>
      </c>
      <c r="U43" s="30">
        <f t="shared" si="7"/>
        <v>675</v>
      </c>
    </row>
    <row r="44" spans="2:21" x14ac:dyDescent="0.25">
      <c r="C44" s="78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31"/>
      <c r="O44" s="31"/>
      <c r="P44" s="31"/>
      <c r="Q44" s="31"/>
      <c r="R44" s="31"/>
      <c r="S44" s="31"/>
      <c r="T44" s="31"/>
      <c r="U44" s="31"/>
    </row>
    <row r="45" spans="2:21" ht="18.75" customHeight="1" x14ac:dyDescent="0.25">
      <c r="B45" s="80" t="s">
        <v>37</v>
      </c>
      <c r="C45" s="80"/>
      <c r="D45" s="80"/>
      <c r="E45" s="81"/>
      <c r="F45" s="81"/>
      <c r="G45" s="81"/>
      <c r="H45" s="81"/>
      <c r="I45" s="81"/>
      <c r="J45" s="81"/>
      <c r="K45" s="81"/>
      <c r="L45" s="81"/>
      <c r="M45" s="81"/>
      <c r="N45" s="31"/>
      <c r="O45" s="31"/>
      <c r="P45" s="31"/>
      <c r="Q45" s="31"/>
      <c r="R45" s="31"/>
      <c r="S45" s="31"/>
      <c r="T45" s="31"/>
      <c r="U45" s="31"/>
    </row>
    <row r="46" spans="2:21" ht="15" customHeight="1" x14ac:dyDescent="0.25">
      <c r="B46" s="82" t="s">
        <v>38</v>
      </c>
      <c r="C46" s="83"/>
      <c r="D46" s="84"/>
      <c r="E46" s="85"/>
      <c r="F46" s="85"/>
      <c r="G46" s="85"/>
      <c r="H46" s="85"/>
      <c r="I46" s="85">
        <f>+I13</f>
        <v>3159087.5</v>
      </c>
      <c r="J46" s="85">
        <f t="shared" ref="J46:U46" si="8">+J13</f>
        <v>3159087.5</v>
      </c>
      <c r="K46" s="85">
        <f t="shared" si="8"/>
        <v>3159087.5</v>
      </c>
      <c r="L46" s="85">
        <f t="shared" si="8"/>
        <v>3159087.5</v>
      </c>
      <c r="M46" s="85">
        <f t="shared" si="8"/>
        <v>3159087.5</v>
      </c>
      <c r="N46" s="85">
        <f t="shared" si="8"/>
        <v>3162363.5</v>
      </c>
      <c r="O46" s="85">
        <f t="shared" si="8"/>
        <v>3159087.5</v>
      </c>
      <c r="P46" s="85">
        <f t="shared" si="8"/>
        <v>3159087.5</v>
      </c>
      <c r="Q46" s="85">
        <f t="shared" si="8"/>
        <v>3159087.5</v>
      </c>
      <c r="R46" s="85">
        <f t="shared" si="8"/>
        <v>3159087.5</v>
      </c>
      <c r="S46" s="85">
        <f t="shared" si="8"/>
        <v>7159087.5</v>
      </c>
      <c r="T46" s="85">
        <f t="shared" si="8"/>
        <v>3159087.5</v>
      </c>
      <c r="U46" s="85">
        <f t="shared" si="8"/>
        <v>319637.5</v>
      </c>
    </row>
    <row r="47" spans="2:21" ht="15" customHeight="1" x14ac:dyDescent="0.25">
      <c r="B47" s="82" t="s">
        <v>39</v>
      </c>
      <c r="C47" s="83"/>
      <c r="D47" s="84"/>
      <c r="E47" s="85"/>
      <c r="F47" s="85"/>
      <c r="G47" s="85"/>
      <c r="H47" s="85"/>
      <c r="I47" s="85">
        <f>+I43</f>
        <v>9107092.1100000013</v>
      </c>
      <c r="J47" s="85">
        <f t="shared" ref="J47:U47" si="9">+J43</f>
        <v>3398795.4000000004</v>
      </c>
      <c r="K47" s="85">
        <f t="shared" si="9"/>
        <v>6041092.6699999999</v>
      </c>
      <c r="L47" s="85">
        <f t="shared" si="9"/>
        <v>3150670.83</v>
      </c>
      <c r="M47" s="85">
        <f t="shared" si="9"/>
        <v>3085506.55</v>
      </c>
      <c r="N47" s="85">
        <f t="shared" si="9"/>
        <v>2984179.21</v>
      </c>
      <c r="O47" s="85">
        <f t="shared" si="9"/>
        <v>3361974.8600000003</v>
      </c>
      <c r="P47" s="85">
        <f t="shared" si="9"/>
        <v>3299047.48</v>
      </c>
      <c r="Q47" s="85">
        <f t="shared" si="9"/>
        <v>3135200.1399999997</v>
      </c>
      <c r="R47" s="85">
        <f t="shared" si="9"/>
        <v>3149568.91</v>
      </c>
      <c r="S47" s="85">
        <f t="shared" si="9"/>
        <v>2392032.56</v>
      </c>
      <c r="T47" s="85">
        <f t="shared" si="9"/>
        <v>8487421.5099999998</v>
      </c>
      <c r="U47" s="85">
        <f t="shared" si="9"/>
        <v>675</v>
      </c>
    </row>
    <row r="48" spans="2:21" ht="15" customHeight="1" x14ac:dyDescent="0.25">
      <c r="B48" s="82" t="s">
        <v>40</v>
      </c>
      <c r="C48" s="83"/>
      <c r="D48" s="84"/>
      <c r="E48" s="85"/>
      <c r="F48" s="85"/>
      <c r="G48" s="85"/>
      <c r="H48" s="85"/>
      <c r="I48" s="85">
        <f>+I46-I47</f>
        <v>-5948004.6100000013</v>
      </c>
      <c r="J48" s="85">
        <f t="shared" ref="J48:U48" si="10">+J46-J47</f>
        <v>-239707.90000000037</v>
      </c>
      <c r="K48" s="85">
        <f t="shared" si="10"/>
        <v>-2882005.17</v>
      </c>
      <c r="L48" s="85">
        <f t="shared" si="10"/>
        <v>8416.6699999999255</v>
      </c>
      <c r="M48" s="85">
        <f t="shared" si="10"/>
        <v>73580.950000000186</v>
      </c>
      <c r="N48" s="85">
        <f t="shared" si="10"/>
        <v>178184.29000000004</v>
      </c>
      <c r="O48" s="85">
        <f t="shared" si="10"/>
        <v>-202887.36000000034</v>
      </c>
      <c r="P48" s="85">
        <f t="shared" si="10"/>
        <v>-139959.97999999998</v>
      </c>
      <c r="Q48" s="85">
        <f t="shared" si="10"/>
        <v>23887.360000000335</v>
      </c>
      <c r="R48" s="85">
        <f t="shared" si="10"/>
        <v>9518.589999999851</v>
      </c>
      <c r="S48" s="85">
        <f t="shared" si="10"/>
        <v>4767054.9399999995</v>
      </c>
      <c r="T48" s="85">
        <f t="shared" si="10"/>
        <v>-5328334.01</v>
      </c>
      <c r="U48" s="85">
        <f t="shared" si="10"/>
        <v>318962.5</v>
      </c>
    </row>
    <row r="49" spans="2:21" ht="15" customHeight="1" x14ac:dyDescent="0.25">
      <c r="B49" s="82" t="s">
        <v>41</v>
      </c>
      <c r="C49" s="83"/>
      <c r="D49" s="84"/>
      <c r="E49" s="85"/>
      <c r="F49" s="85"/>
      <c r="G49" s="85"/>
      <c r="H49" s="85"/>
      <c r="I49" s="85">
        <v>9947703.0299999993</v>
      </c>
      <c r="J49" s="85">
        <f t="shared" ref="J49:T49" si="11">+I50</f>
        <v>3999698.4199999981</v>
      </c>
      <c r="K49" s="85">
        <f t="shared" si="11"/>
        <v>3759990.5199999977</v>
      </c>
      <c r="L49" s="85">
        <f t="shared" si="11"/>
        <v>877985.34999999776</v>
      </c>
      <c r="M49" s="85">
        <f t="shared" si="11"/>
        <v>886402.01999999769</v>
      </c>
      <c r="N49" s="85">
        <f t="shared" si="11"/>
        <v>959982.96999999788</v>
      </c>
      <c r="O49" s="85">
        <f t="shared" si="11"/>
        <v>1138167.2599999979</v>
      </c>
      <c r="P49" s="85">
        <f t="shared" si="11"/>
        <v>935279.89999999758</v>
      </c>
      <c r="Q49" s="85">
        <f t="shared" si="11"/>
        <v>795319.9199999976</v>
      </c>
      <c r="R49" s="85">
        <f t="shared" si="11"/>
        <v>819207.27999999793</v>
      </c>
      <c r="S49" s="85">
        <f t="shared" si="11"/>
        <v>828725.86999999778</v>
      </c>
      <c r="T49" s="85">
        <f t="shared" si="11"/>
        <v>5595780.8099999968</v>
      </c>
      <c r="U49" s="85">
        <f>+'[1]FEBRERO 2024'!U50</f>
        <v>0</v>
      </c>
    </row>
    <row r="50" spans="2:21" ht="15" customHeight="1" x14ac:dyDescent="0.25">
      <c r="B50" s="86" t="s">
        <v>42</v>
      </c>
      <c r="C50" s="86"/>
      <c r="D50" s="86"/>
      <c r="E50" s="85"/>
      <c r="F50" s="85"/>
      <c r="G50" s="85"/>
      <c r="H50" s="85"/>
      <c r="I50" s="85">
        <f>+I49+I48</f>
        <v>3999698.4199999981</v>
      </c>
      <c r="J50" s="85">
        <f t="shared" ref="J50:U50" si="12">+J49+J48</f>
        <v>3759990.5199999977</v>
      </c>
      <c r="K50" s="85">
        <f t="shared" si="12"/>
        <v>877985.34999999776</v>
      </c>
      <c r="L50" s="85">
        <f t="shared" si="12"/>
        <v>886402.01999999769</v>
      </c>
      <c r="M50" s="85">
        <f t="shared" si="12"/>
        <v>959982.96999999788</v>
      </c>
      <c r="N50" s="85">
        <f t="shared" si="12"/>
        <v>1138167.2599999979</v>
      </c>
      <c r="O50" s="85">
        <f t="shared" si="12"/>
        <v>935279.89999999758</v>
      </c>
      <c r="P50" s="85">
        <f t="shared" si="12"/>
        <v>795319.9199999976</v>
      </c>
      <c r="Q50" s="85">
        <f t="shared" si="12"/>
        <v>819207.27999999793</v>
      </c>
      <c r="R50" s="85">
        <f t="shared" si="12"/>
        <v>828725.86999999778</v>
      </c>
      <c r="S50" s="85">
        <f t="shared" si="12"/>
        <v>5595780.8099999968</v>
      </c>
      <c r="T50" s="85">
        <f t="shared" si="12"/>
        <v>267446.79999999702</v>
      </c>
      <c r="U50" s="85">
        <f t="shared" si="12"/>
        <v>318962.5</v>
      </c>
    </row>
    <row r="51" spans="2:21" x14ac:dyDescent="0.25">
      <c r="B51" s="87"/>
      <c r="C51" s="87"/>
      <c r="D51" s="87"/>
      <c r="E51" s="87"/>
      <c r="F51" s="87"/>
      <c r="G51" s="87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9"/>
    </row>
    <row r="52" spans="2:21" x14ac:dyDescent="0.25">
      <c r="B52" s="6"/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</row>
    <row r="53" spans="2:21" x14ac:dyDescent="0.25">
      <c r="B53" s="90"/>
      <c r="C53" s="90"/>
      <c r="D53" s="91"/>
      <c r="E53" s="92"/>
      <c r="F53" s="92"/>
      <c r="G53" s="92"/>
      <c r="H53" s="91"/>
      <c r="I53" s="93"/>
      <c r="J53" s="91"/>
      <c r="K53" s="93"/>
      <c r="L53" s="91"/>
      <c r="M53" s="91"/>
      <c r="N53" s="91"/>
      <c r="O53" s="91"/>
      <c r="P53" s="91"/>
      <c r="Q53" s="93"/>
      <c r="R53" s="91"/>
      <c r="S53" s="91"/>
      <c r="T53" s="91"/>
      <c r="U53" s="94"/>
    </row>
    <row r="54" spans="2:21" x14ac:dyDescent="0.25">
      <c r="B54" s="90"/>
      <c r="C54" s="9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95"/>
    </row>
    <row r="55" spans="2:21" x14ac:dyDescent="0.25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</row>
    <row r="56" spans="2:21" x14ac:dyDescent="0.25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</row>
    <row r="57" spans="2:21" x14ac:dyDescent="0.25">
      <c r="B57" s="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</row>
    <row r="58" spans="2:21" x14ac:dyDescent="0.25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</row>
    <row r="59" spans="2:21" x14ac:dyDescent="0.25">
      <c r="B59" s="9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6"/>
      <c r="O59" s="96"/>
      <c r="P59" s="96"/>
      <c r="Q59" s="96"/>
      <c r="R59" s="96"/>
      <c r="S59" s="96"/>
      <c r="T59" s="96"/>
      <c r="U59" s="96"/>
    </row>
    <row r="60" spans="2:21" x14ac:dyDescent="0.25">
      <c r="B60" s="70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6"/>
      <c r="O60" s="96"/>
      <c r="P60" s="96"/>
      <c r="Q60" s="96"/>
      <c r="R60" s="96"/>
      <c r="S60" s="96"/>
      <c r="T60" s="96"/>
      <c r="U60" s="96"/>
    </row>
    <row r="61" spans="2:21" x14ac:dyDescent="0.25">
      <c r="B61" s="70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6"/>
      <c r="O61" s="96"/>
      <c r="P61" s="96"/>
      <c r="Q61" s="96"/>
      <c r="R61" s="96"/>
      <c r="S61" s="96"/>
      <c r="T61" s="96"/>
      <c r="U61" s="96"/>
    </row>
    <row r="62" spans="2:21" x14ac:dyDescent="0.25">
      <c r="B62" s="91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6"/>
      <c r="O62" s="96"/>
      <c r="P62" s="96"/>
      <c r="Q62" s="96"/>
      <c r="R62" s="96"/>
      <c r="S62" s="96"/>
      <c r="T62" s="96"/>
      <c r="U62" s="96"/>
    </row>
    <row r="63" spans="2:21" x14ac:dyDescent="0.25">
      <c r="B63" s="70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6"/>
      <c r="O63" s="96"/>
      <c r="P63" s="96"/>
      <c r="Q63" s="96"/>
      <c r="R63" s="96"/>
      <c r="S63" s="96"/>
      <c r="T63" s="96"/>
      <c r="U63" s="96"/>
    </row>
    <row r="64" spans="2:21" x14ac:dyDescent="0.25">
      <c r="B64" s="70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6"/>
      <c r="O64" s="96"/>
      <c r="P64" s="96"/>
      <c r="Q64" s="96"/>
      <c r="R64" s="96"/>
      <c r="S64" s="96"/>
      <c r="T64" s="96"/>
      <c r="U64" s="96"/>
    </row>
    <row r="65" spans="2:21" x14ac:dyDescent="0.25">
      <c r="B65" s="70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6"/>
      <c r="O65" s="96"/>
      <c r="P65" s="96"/>
      <c r="Q65" s="96"/>
      <c r="R65" s="96"/>
      <c r="S65" s="96"/>
      <c r="T65" s="96"/>
      <c r="U65" s="96"/>
    </row>
    <row r="66" spans="2:21" x14ac:dyDescent="0.25">
      <c r="B66" s="70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6"/>
      <c r="O66" s="96"/>
      <c r="P66" s="96"/>
      <c r="Q66" s="96"/>
      <c r="R66" s="96"/>
      <c r="S66" s="96"/>
      <c r="T66" s="96"/>
      <c r="U66" s="96"/>
    </row>
    <row r="67" spans="2:21" x14ac:dyDescent="0.25">
      <c r="B67" s="70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6"/>
      <c r="O67" s="96"/>
      <c r="P67" s="96"/>
      <c r="Q67" s="96"/>
      <c r="R67" s="96"/>
      <c r="S67" s="96"/>
      <c r="T67" s="96"/>
      <c r="U67" s="96"/>
    </row>
    <row r="68" spans="2:21" x14ac:dyDescent="0.25">
      <c r="B68" s="70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6"/>
      <c r="O68" s="96"/>
      <c r="P68" s="96"/>
      <c r="Q68" s="96"/>
      <c r="R68" s="96"/>
      <c r="S68" s="96"/>
      <c r="T68" s="96"/>
      <c r="U68" s="96"/>
    </row>
    <row r="69" spans="2:21" x14ac:dyDescent="0.25">
      <c r="B69" s="70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6"/>
      <c r="O69" s="96"/>
      <c r="P69" s="96"/>
      <c r="Q69" s="96"/>
      <c r="R69" s="96"/>
      <c r="S69" s="96"/>
      <c r="T69" s="96"/>
      <c r="U69" s="96"/>
    </row>
    <row r="70" spans="2:21" x14ac:dyDescent="0.25">
      <c r="B70" s="70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6"/>
      <c r="O70" s="96"/>
      <c r="P70" s="96"/>
      <c r="Q70" s="96"/>
      <c r="R70" s="96"/>
      <c r="S70" s="96"/>
      <c r="T70" s="96"/>
      <c r="U70" s="96"/>
    </row>
    <row r="71" spans="2:21" x14ac:dyDescent="0.25">
      <c r="B71" s="70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6"/>
      <c r="O71" s="96"/>
      <c r="P71" s="96"/>
      <c r="Q71" s="96"/>
      <c r="R71" s="96"/>
      <c r="S71" s="96"/>
      <c r="T71" s="96"/>
      <c r="U71" s="96"/>
    </row>
    <row r="72" spans="2:21" x14ac:dyDescent="0.25">
      <c r="B72" s="70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6"/>
      <c r="O72" s="96"/>
      <c r="P72" s="96"/>
      <c r="Q72" s="96"/>
      <c r="R72" s="96"/>
      <c r="S72" s="96"/>
      <c r="T72" s="96"/>
      <c r="U72" s="96"/>
    </row>
    <row r="73" spans="2:21" x14ac:dyDescent="0.25">
      <c r="B73" s="91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6"/>
      <c r="O73" s="96"/>
      <c r="P73" s="96"/>
      <c r="Q73" s="96"/>
      <c r="R73" s="96"/>
      <c r="S73" s="96"/>
      <c r="T73" s="96"/>
      <c r="U73" s="96"/>
    </row>
    <row r="74" spans="2:21" x14ac:dyDescent="0.25">
      <c r="B74" s="70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6"/>
      <c r="O74" s="96"/>
      <c r="P74" s="96"/>
      <c r="Q74" s="96"/>
      <c r="R74" s="96"/>
      <c r="S74" s="96"/>
      <c r="T74" s="96"/>
      <c r="U74" s="96"/>
    </row>
    <row r="75" spans="2:21" x14ac:dyDescent="0.25">
      <c r="B75" s="70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6"/>
      <c r="O75" s="96"/>
      <c r="P75" s="96"/>
      <c r="Q75" s="96"/>
      <c r="R75" s="96"/>
      <c r="S75" s="96"/>
      <c r="T75" s="96"/>
      <c r="U75" s="96"/>
    </row>
    <row r="76" spans="2:21" x14ac:dyDescent="0.25">
      <c r="B76" s="91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6"/>
      <c r="O76" s="96"/>
      <c r="P76" s="96"/>
      <c r="Q76" s="96"/>
      <c r="R76" s="96"/>
      <c r="S76" s="96"/>
      <c r="T76" s="96"/>
      <c r="U76" s="96"/>
    </row>
    <row r="77" spans="2:21" x14ac:dyDescent="0.25">
      <c r="B77" s="70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6"/>
      <c r="O77" s="96"/>
      <c r="P77" s="96"/>
      <c r="Q77" s="96"/>
      <c r="R77" s="96"/>
      <c r="S77" s="96"/>
      <c r="T77" s="96"/>
      <c r="U77" s="96"/>
    </row>
    <row r="78" spans="2:21" x14ac:dyDescent="0.25">
      <c r="B78" s="70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6"/>
      <c r="O78" s="96"/>
      <c r="P78" s="96"/>
      <c r="Q78" s="96"/>
      <c r="R78" s="96"/>
      <c r="S78" s="96"/>
      <c r="T78" s="96"/>
      <c r="U78" s="96"/>
    </row>
    <row r="79" spans="2:21" x14ac:dyDescent="0.25">
      <c r="B79" s="70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6"/>
      <c r="O79" s="96"/>
      <c r="P79" s="96"/>
      <c r="Q79" s="96"/>
      <c r="R79" s="96"/>
      <c r="S79" s="96"/>
      <c r="T79" s="96"/>
      <c r="U79" s="96"/>
    </row>
    <row r="80" spans="2:21" x14ac:dyDescent="0.25">
      <c r="B80" s="70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6"/>
      <c r="O80" s="96"/>
      <c r="P80" s="96"/>
      <c r="Q80" s="96"/>
      <c r="R80" s="96"/>
      <c r="S80" s="96"/>
      <c r="T80" s="96"/>
      <c r="U80" s="96"/>
    </row>
    <row r="81" spans="2:21" x14ac:dyDescent="0.25">
      <c r="B81" s="70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6"/>
      <c r="O81" s="96"/>
      <c r="P81" s="96"/>
      <c r="Q81" s="96"/>
      <c r="R81" s="96"/>
      <c r="S81" s="96"/>
      <c r="T81" s="96"/>
      <c r="U81" s="96"/>
    </row>
    <row r="82" spans="2:21" x14ac:dyDescent="0.25">
      <c r="B82" s="70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6"/>
      <c r="O82" s="96"/>
      <c r="P82" s="96"/>
      <c r="Q82" s="96"/>
      <c r="R82" s="96"/>
      <c r="S82" s="96"/>
      <c r="T82" s="96"/>
      <c r="U82" s="96"/>
    </row>
    <row r="83" spans="2:21" x14ac:dyDescent="0.25">
      <c r="B83" s="70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98"/>
      <c r="O83" s="98"/>
      <c r="P83" s="98"/>
      <c r="Q83" s="98"/>
      <c r="R83" s="98"/>
      <c r="S83" s="98"/>
      <c r="T83" s="98"/>
      <c r="U83" s="98"/>
    </row>
    <row r="84" spans="2:21" x14ac:dyDescent="0.25">
      <c r="B84" s="8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87"/>
      <c r="O84" s="87"/>
      <c r="P84" s="87"/>
      <c r="Q84" s="87"/>
      <c r="R84" s="87"/>
      <c r="S84" s="87"/>
      <c r="T84" s="87"/>
      <c r="U84" s="87"/>
    </row>
    <row r="85" spans="2:21" x14ac:dyDescent="0.25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87"/>
      <c r="O85" s="87"/>
      <c r="P85" s="87"/>
      <c r="Q85" s="87"/>
      <c r="R85" s="87"/>
      <c r="S85" s="87"/>
      <c r="T85" s="87"/>
      <c r="U85" s="87"/>
    </row>
    <row r="86" spans="2:21" x14ac:dyDescent="0.25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9"/>
      <c r="O86" s="99"/>
      <c r="P86" s="99"/>
      <c r="Q86" s="99"/>
      <c r="R86" s="99"/>
      <c r="S86" s="99"/>
      <c r="T86" s="99"/>
      <c r="U86" s="99"/>
    </row>
    <row r="87" spans="2:21" x14ac:dyDescent="0.25"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9"/>
      <c r="O87" s="99"/>
      <c r="P87" s="99"/>
      <c r="Q87" s="99"/>
      <c r="R87" s="99"/>
      <c r="S87" s="99"/>
      <c r="T87" s="99"/>
      <c r="U87" s="99"/>
    </row>
    <row r="88" spans="2:21" x14ac:dyDescent="0.25"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9"/>
      <c r="O88" s="99"/>
      <c r="P88" s="99"/>
      <c r="Q88" s="99"/>
      <c r="R88" s="99"/>
      <c r="S88" s="99"/>
      <c r="T88" s="99"/>
      <c r="U88" s="99"/>
    </row>
    <row r="89" spans="2:21" x14ac:dyDescent="0.25"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9"/>
      <c r="O89" s="99"/>
      <c r="P89" s="99"/>
      <c r="Q89" s="99"/>
      <c r="R89" s="99"/>
      <c r="S89" s="99"/>
      <c r="T89" s="99"/>
      <c r="U89" s="99"/>
    </row>
    <row r="90" spans="2:21" x14ac:dyDescent="0.25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100"/>
      <c r="O90" s="100"/>
      <c r="P90" s="100"/>
      <c r="Q90" s="100"/>
      <c r="R90" s="100"/>
      <c r="S90" s="100"/>
      <c r="T90" s="100"/>
      <c r="U90" s="100"/>
    </row>
    <row r="91" spans="2:21" x14ac:dyDescent="0.25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</row>
    <row r="92" spans="2:21" x14ac:dyDescent="0.25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</row>
    <row r="93" spans="2:21" x14ac:dyDescent="0.25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</row>
    <row r="94" spans="2:21" x14ac:dyDescent="0.25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</row>
    <row r="95" spans="2:21" x14ac:dyDescent="0.25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</row>
  </sheetData>
  <mergeCells count="42">
    <mergeCell ref="B45:D45"/>
    <mergeCell ref="B46:D46"/>
    <mergeCell ref="B47:D47"/>
    <mergeCell ref="B48:D48"/>
    <mergeCell ref="B49:D49"/>
    <mergeCell ref="B50:D50"/>
    <mergeCell ref="C38:D38"/>
    <mergeCell ref="C39:D39"/>
    <mergeCell ref="C40:D40"/>
    <mergeCell ref="C41:D41"/>
    <mergeCell ref="C43:D43"/>
    <mergeCell ref="C44:D44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  <pageSetup scale="80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2024-07-29T15:26:28Z</dcterms:created>
  <dcterms:modified xsi:type="dcterms:W3CDTF">2024-07-29T15:30:30Z</dcterms:modified>
</cp:coreProperties>
</file>