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330"/>
  </bookViews>
  <sheets>
    <sheet name="LIBRO BANCO" sheetId="1" r:id="rId1"/>
    <sheet name="CHEQUE TRANSISTO" sheetId="2" r:id="rId2"/>
    <sheet name="CONCILIACION BANCARIA" sheetId="3" r:id="rId3"/>
    <sheet name="LIQUIDACION DE FONDO" sheetId="4" r:id="rId4"/>
  </sheets>
  <externalReferences>
    <externalReference r:id="rId5"/>
    <externalReference r:id="rId6"/>
    <externalReference r:id="rId7"/>
  </externalReferences>
  <definedNames>
    <definedName name="_xlnm.Print_Area" localSheetId="2">'CONCILIACION BANCARIA'!$A$1:$G$50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9" i="4" l="1"/>
  <c r="U41" i="4"/>
  <c r="P41" i="4"/>
  <c r="K41" i="4"/>
  <c r="K36" i="4" s="1"/>
  <c r="I41" i="4"/>
  <c r="I36" i="4" s="1"/>
  <c r="U39" i="4"/>
  <c r="U38" i="4"/>
  <c r="P38" i="4"/>
  <c r="G38" i="4"/>
  <c r="G36" i="4" s="1"/>
  <c r="G43" i="4" s="1"/>
  <c r="U37" i="4"/>
  <c r="Q37" i="4"/>
  <c r="O37" i="4"/>
  <c r="O36" i="4" s="1"/>
  <c r="N37" i="4"/>
  <c r="N36" i="4" s="1"/>
  <c r="F37" i="4"/>
  <c r="E37" i="4"/>
  <c r="U36" i="4"/>
  <c r="T36" i="4"/>
  <c r="S36" i="4"/>
  <c r="R36" i="4"/>
  <c r="Q36" i="4"/>
  <c r="P36" i="4"/>
  <c r="M36" i="4"/>
  <c r="L36" i="4"/>
  <c r="J36" i="4"/>
  <c r="H36" i="4"/>
  <c r="F36" i="4"/>
  <c r="E36" i="4"/>
  <c r="J35" i="4"/>
  <c r="J22" i="4" s="1"/>
  <c r="J43" i="4" s="1"/>
  <c r="J47" i="4" s="1"/>
  <c r="H34" i="4"/>
  <c r="G34" i="4"/>
  <c r="F34" i="4"/>
  <c r="E34" i="4"/>
  <c r="R32" i="4"/>
  <c r="Q32" i="4"/>
  <c r="O32" i="4"/>
  <c r="K32" i="4"/>
  <c r="J32" i="4"/>
  <c r="I32" i="4"/>
  <c r="H32" i="4"/>
  <c r="T30" i="4"/>
  <c r="R30" i="4"/>
  <c r="O30" i="4"/>
  <c r="K30" i="4"/>
  <c r="F30" i="4"/>
  <c r="E30" i="4"/>
  <c r="T28" i="4"/>
  <c r="R28" i="4"/>
  <c r="R22" i="4" s="1"/>
  <c r="R43" i="4" s="1"/>
  <c r="R47" i="4" s="1"/>
  <c r="O28" i="4"/>
  <c r="U27" i="4"/>
  <c r="T27" i="4"/>
  <c r="H27" i="4"/>
  <c r="E27" i="4"/>
  <c r="T26" i="4"/>
  <c r="O26" i="4"/>
  <c r="O22" i="4" s="1"/>
  <c r="T25" i="4"/>
  <c r="T22" i="4" s="1"/>
  <c r="S25" i="4"/>
  <c r="R25" i="4"/>
  <c r="Q25" i="4"/>
  <c r="P25" i="4"/>
  <c r="P22" i="4" s="1"/>
  <c r="O25" i="4"/>
  <c r="N25" i="4"/>
  <c r="K25" i="4"/>
  <c r="K22" i="4" s="1"/>
  <c r="H25" i="4"/>
  <c r="F25" i="4"/>
  <c r="E25" i="4"/>
  <c r="H24" i="4"/>
  <c r="F24" i="4"/>
  <c r="F22" i="4" s="1"/>
  <c r="P23" i="4"/>
  <c r="L23" i="4"/>
  <c r="J23" i="4"/>
  <c r="H23" i="4"/>
  <c r="H22" i="4" s="1"/>
  <c r="G23" i="4"/>
  <c r="F23" i="4"/>
  <c r="E23" i="4"/>
  <c r="U22" i="4"/>
  <c r="U43" i="4" s="1"/>
  <c r="U47" i="4" s="1"/>
  <c r="S22" i="4"/>
  <c r="Q22" i="4"/>
  <c r="Q43" i="4" s="1"/>
  <c r="Q47" i="4" s="1"/>
  <c r="N22" i="4"/>
  <c r="M22" i="4"/>
  <c r="M43" i="4" s="1"/>
  <c r="M47" i="4" s="1"/>
  <c r="L22" i="4"/>
  <c r="I22" i="4"/>
  <c r="I43" i="4" s="1"/>
  <c r="I47" i="4" s="1"/>
  <c r="G22" i="4"/>
  <c r="E22" i="4"/>
  <c r="E43" i="4" s="1"/>
  <c r="R17" i="4"/>
  <c r="Q17" i="4"/>
  <c r="P17" i="4"/>
  <c r="N17" i="4"/>
  <c r="N16" i="4" s="1"/>
  <c r="N43" i="4" s="1"/>
  <c r="N47" i="4" s="1"/>
  <c r="K17" i="4"/>
  <c r="H17" i="4"/>
  <c r="G17" i="4"/>
  <c r="F17" i="4"/>
  <c r="F16" i="4" s="1"/>
  <c r="E17" i="4"/>
  <c r="U16" i="4"/>
  <c r="T16" i="4"/>
  <c r="S16" i="4"/>
  <c r="S43" i="4" s="1"/>
  <c r="S47" i="4" s="1"/>
  <c r="R16" i="4"/>
  <c r="Q16" i="4"/>
  <c r="P16" i="4"/>
  <c r="O16" i="4"/>
  <c r="O43" i="4" s="1"/>
  <c r="O47" i="4" s="1"/>
  <c r="M16" i="4"/>
  <c r="L16" i="4"/>
  <c r="L43" i="4" s="1"/>
  <c r="L47" i="4" s="1"/>
  <c r="K16" i="4"/>
  <c r="J16" i="4"/>
  <c r="I16" i="4"/>
  <c r="H16" i="4"/>
  <c r="G16" i="4"/>
  <c r="E16" i="4"/>
  <c r="U13" i="4"/>
  <c r="U46" i="4" s="1"/>
  <c r="T13" i="4"/>
  <c r="T46" i="4" s="1"/>
  <c r="S13" i="4"/>
  <c r="S46" i="4" s="1"/>
  <c r="R13" i="4"/>
  <c r="R46" i="4" s="1"/>
  <c r="R48" i="4" s="1"/>
  <c r="Q13" i="4"/>
  <c r="Q46" i="4" s="1"/>
  <c r="P13" i="4"/>
  <c r="P46" i="4" s="1"/>
  <c r="O13" i="4"/>
  <c r="O46" i="4" s="1"/>
  <c r="N13" i="4"/>
  <c r="N46" i="4" s="1"/>
  <c r="N48" i="4" s="1"/>
  <c r="M13" i="4"/>
  <c r="M46" i="4" s="1"/>
  <c r="L13" i="4"/>
  <c r="L46" i="4" s="1"/>
  <c r="L48" i="4" s="1"/>
  <c r="K13" i="4"/>
  <c r="K46" i="4" s="1"/>
  <c r="J13" i="4"/>
  <c r="J46" i="4" s="1"/>
  <c r="J48" i="4" s="1"/>
  <c r="I13" i="4"/>
  <c r="I46" i="4" s="1"/>
  <c r="H13" i="4"/>
  <c r="G13" i="4"/>
  <c r="F13" i="4"/>
  <c r="E13" i="4"/>
  <c r="F43" i="4" l="1"/>
  <c r="K48" i="4"/>
  <c r="O48" i="4"/>
  <c r="S48" i="4"/>
  <c r="K43" i="4"/>
  <c r="K47" i="4" s="1"/>
  <c r="P43" i="4"/>
  <c r="P47" i="4" s="1"/>
  <c r="P48" i="4" s="1"/>
  <c r="T43" i="4"/>
  <c r="T47" i="4" s="1"/>
  <c r="T48" i="4"/>
  <c r="I48" i="4"/>
  <c r="I50" i="4" s="1"/>
  <c r="J49" i="4" s="1"/>
  <c r="J50" i="4" s="1"/>
  <c r="K49" i="4" s="1"/>
  <c r="K50" i="4" s="1"/>
  <c r="L49" i="4" s="1"/>
  <c r="L50" i="4" s="1"/>
  <c r="M49" i="4" s="1"/>
  <c r="M50" i="4" s="1"/>
  <c r="N49" i="4" s="1"/>
  <c r="N50" i="4" s="1"/>
  <c r="O49" i="4" s="1"/>
  <c r="O50" i="4" s="1"/>
  <c r="P49" i="4" s="1"/>
  <c r="M48" i="4"/>
  <c r="Q48" i="4"/>
  <c r="U48" i="4"/>
  <c r="U50" i="4" s="1"/>
  <c r="H43" i="4"/>
  <c r="P50" i="4" l="1"/>
  <c r="Q49" i="4" s="1"/>
  <c r="Q50" i="4" s="1"/>
  <c r="R49" i="4" s="1"/>
  <c r="R50" i="4" s="1"/>
  <c r="S49" i="4" s="1"/>
  <c r="S50" i="4" s="1"/>
  <c r="T49" i="4" s="1"/>
  <c r="T50" i="4" s="1"/>
  <c r="G37" i="3" l="1"/>
  <c r="G45" i="3" s="1"/>
  <c r="G32" i="3"/>
  <c r="G26" i="3"/>
  <c r="G20" i="3"/>
  <c r="E8" i="2" l="1"/>
  <c r="H38" i="1" l="1"/>
  <c r="F38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/>
  <c r="G38" i="1" s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</calcChain>
</file>

<file path=xl/sharedStrings.xml><?xml version="1.0" encoding="utf-8"?>
<sst xmlns="http://schemas.openxmlformats.org/spreadsheetml/2006/main" count="186" uniqueCount="162">
  <si>
    <t>GOBERNACION DE LA PROVINCIA DE SANTO DOMINGO</t>
  </si>
  <si>
    <t>MINISTERIO DE LA PRESIDENCIA</t>
  </si>
  <si>
    <t>RELACIÓN DE BANCO</t>
  </si>
  <si>
    <t>BANCO DE RESERVAS DE LA REPUBLICA DOMINICANA</t>
  </si>
  <si>
    <t>CUENTA 230-204295-0</t>
  </si>
  <si>
    <t>MARZO  DEL 2026</t>
  </si>
  <si>
    <t>DIA</t>
  </si>
  <si>
    <t>BENEFICIARIO</t>
  </si>
  <si>
    <t>DETALLE</t>
  </si>
  <si>
    <t>CK</t>
  </si>
  <si>
    <t>NO. CTA</t>
  </si>
  <si>
    <t>VALOR</t>
  </si>
  <si>
    <t>BC. 0.15%</t>
  </si>
  <si>
    <t>DEPOSITO</t>
  </si>
  <si>
    <t>BALANCE</t>
  </si>
  <si>
    <t>BALANCE ANTERIOR</t>
  </si>
  <si>
    <t>DESDE LA PRESIDENCIA</t>
  </si>
  <si>
    <t>REPOSICION DE CHEQUE ANULADO</t>
  </si>
  <si>
    <t>CHEQUE REAIZADO MES DE DICIEMBRE , PERO NO UTILIZADO, ANULADO</t>
  </si>
  <si>
    <t>FARMACIA MEDICAL GBC</t>
  </si>
  <si>
    <t>COMPRAS DE MEDICAMENTOS PAR SER DONADO A PERSONA DE ESCASO REVCURSO ECONOMICO</t>
  </si>
  <si>
    <t>41953273090</t>
  </si>
  <si>
    <t>ROSA MARIA PARRA CROUSSET</t>
  </si>
  <si>
    <t>AYUDA ECONOMICA PARA COMPRAS DE MATERIALES , PARA CURSO TALLER, REALIZADO POR MINISTERIO INTERIOR Y POLICIA EN CONJUNTOS CON LA GOBERNACION</t>
  </si>
  <si>
    <t>026836</t>
  </si>
  <si>
    <t>IDALISA MERCEDES VERAS FELIZ</t>
  </si>
  <si>
    <t>REPOSICIN DE CAJA CHICA</t>
  </si>
  <si>
    <t>026837</t>
  </si>
  <si>
    <t>EL MOLINOS DEPORTIVOS</t>
  </si>
  <si>
    <t>DONACION DE TROFEO Y MEDALLA, SEGÚN EXPEDIENTE ANEXO</t>
  </si>
  <si>
    <t>42004818299</t>
  </si>
  <si>
    <t>COMPÑIA COMERCIAL DEL CRAIBE</t>
  </si>
  <si>
    <t>COMPRAS DE HOJA EN BLACO PARA USO DE LA OFICINA</t>
  </si>
  <si>
    <t>42004801987</t>
  </si>
  <si>
    <t>DONACION DE MEDICAMENTOS PARA PERSONA DE ESCASO RECURSO ECONOMICO</t>
  </si>
  <si>
    <t>42004854469</t>
  </si>
  <si>
    <t>YRENE NUÑEZ NUÑEZ</t>
  </si>
  <si>
    <t>AYUADA ECONOMICA PARA GASTO FUNEBRE, SEGÚN EXPEDIENTE O SOLICITUD ANEX</t>
  </si>
  <si>
    <t>026838</t>
  </si>
  <si>
    <t>MARIA FERNANDA  TRINIDAD</t>
  </si>
  <si>
    <t>AYUDA  ECONOMICA PARA  ACTIVIDA CULTURAL EN LA HECIENDA EXTRELLA, SEGÚN SOLICITUD ANAEXA</t>
  </si>
  <si>
    <t>026839</t>
  </si>
  <si>
    <t>SEPROLIN</t>
  </si>
  <si>
    <t>COMPRAS DE PICADERA DE EVENTOS REALIZADA POR LA GOBERNACION , EN LOS 15 TERRISTORIO DE LA PROVINCIA SANTO DOMINGO</t>
  </si>
  <si>
    <t>420520830483</t>
  </si>
  <si>
    <t>INTERIOR Y POLICIA</t>
  </si>
  <si>
    <t>FONDO DE AYUDA</t>
  </si>
  <si>
    <t>452400000478</t>
  </si>
  <si>
    <t>42058764852</t>
  </si>
  <si>
    <t>42058781401</t>
  </si>
  <si>
    <t>42058803232</t>
  </si>
  <si>
    <t>GLOBAL REFRIAUTO, SRL</t>
  </si>
  <si>
    <t>PAGO DE MANTENIEMIENTO DE VEHICULO DE LA GOBERNACION</t>
  </si>
  <si>
    <t>42059288350</t>
  </si>
  <si>
    <t>BARTOLA SERINO CLETO</t>
  </si>
  <si>
    <t>AYUDA ECONOMICA PARA COMPRAS DE MEDICAMENTOS, PERSONA DE ESCASO RECURSO ECONOMICOA, SEGÚN EXPEDIENTE ANEXO</t>
  </si>
  <si>
    <t>026840</t>
  </si>
  <si>
    <t>RUFINA OZORIA</t>
  </si>
  <si>
    <t>AYUDA ECONOMICA PARA ARREGLO DE VIVIENDA PERSONA DE ESCASO RECURSO ECONOMICO</t>
  </si>
  <si>
    <t>026841</t>
  </si>
  <si>
    <t>JOSE MIGUEL TAVERAS PANIAGUA</t>
  </si>
  <si>
    <t>026842</t>
  </si>
  <si>
    <t>MARIA ALTAGRACIA DE LA CRUZ</t>
  </si>
  <si>
    <t>026843</t>
  </si>
  <si>
    <t>CATALINA BRITO</t>
  </si>
  <si>
    <t>AYUDA ECONOMICA PARA COMPRAS DE MEDICAMENTO Y ESTUDIO MEIDCO, SEGÚN EXPEDIENTE ANEXO</t>
  </si>
  <si>
    <t>026844</t>
  </si>
  <si>
    <t>ULISES GIUSEPPE PAVON LUGO</t>
  </si>
  <si>
    <t>AYUDA ECONOMICA PARA COMPRAS DE MEDICAMENTOS PERSONA DE ESCASO RECURSO ECONOMICO</t>
  </si>
  <si>
    <t>026845</t>
  </si>
  <si>
    <t>MARIA MARGARITA BRAZOBAN FIGUEROA</t>
  </si>
  <si>
    <t>AYUDA ECONOMICA PARA COMPRAS DE MATERIALES  DE CONSTRUCION ,PARA ARREGLO DE SU VIVIENDA ESTA MAL ESTADO, SEGÚN EXPEDIENTE</t>
  </si>
  <si>
    <t>026846</t>
  </si>
  <si>
    <t>KENLLY JULIO MORENO JIMENEZ</t>
  </si>
  <si>
    <t>AYUDA ECONOMICA PARA , JUEGO DEPORTIVOS DE RECREACION EN LA  SEMANA SANTA, SEGÚN EXPEDIENTE ANEXO</t>
  </si>
  <si>
    <t>026847</t>
  </si>
  <si>
    <t>ANGELY DE JESUSS QUEZADA TINEO</t>
  </si>
  <si>
    <t xml:space="preserve"> AYUDA ECONOMICA PARA LOS PERIODISTA , QUE ESTAN  CUBRIENDOS LOS DIFERENTE EVENTOS DE SEMANA SANTA</t>
  </si>
  <si>
    <t>026848</t>
  </si>
  <si>
    <t>SEPROLIM</t>
  </si>
  <si>
    <t>PAGO DE COMPRAS DE CERTIFICADO Y RECONOCIMIENTO, PARA SER ENTREGA  APERSONA EN EVENTO REALIZADO</t>
  </si>
  <si>
    <t>42097343568</t>
  </si>
  <si>
    <t>FERNANDA MAÑON LAFORD</t>
  </si>
  <si>
    <t>AYUDA ECONOMICA PARA ARREGLO DE BAÑO, SEGÚN EXPEDIENTE ANEXO. PERSONA DE ESCASO RECURSO ECONOMICO</t>
  </si>
  <si>
    <t>026849</t>
  </si>
  <si>
    <t>CHEQUE TRANSISTO DE  MARZO    2026</t>
  </si>
  <si>
    <t xml:space="preserve">FECHA </t>
  </si>
  <si>
    <t xml:space="preserve">DETALLES </t>
  </si>
  <si>
    <t>N0. CKS</t>
  </si>
  <si>
    <t xml:space="preserve">MONTO </t>
  </si>
  <si>
    <t xml:space="preserve">CRISTINA RODRÌGUEZ MONTERO </t>
  </si>
  <si>
    <t>PAGO DE NOMINA MES DE JUNIO 2022</t>
  </si>
  <si>
    <t>026835</t>
  </si>
  <si>
    <t>MARIA FERNANDA TRINIDAD</t>
  </si>
  <si>
    <t>AYUDA ECONIMICA SOLICITADA PARA PAGO DE , LOS PREMIO DEL CONSULSO DE BACHATA, EVENTO CULTURAR A REALIZARCE EN LA HACIENDA EXTRELLA</t>
  </si>
  <si>
    <t>026834</t>
  </si>
  <si>
    <t xml:space="preserve">MINISTERIO DE INTERIOR Y POLICIA </t>
  </si>
  <si>
    <t xml:space="preserve">Gobernacion Provincial de </t>
  </si>
  <si>
    <t xml:space="preserve"> SANTO DOMINGO</t>
  </si>
  <si>
    <t>Estado de Conciliacion Bancaria</t>
  </si>
  <si>
    <t>Valores en RD$</t>
  </si>
  <si>
    <t>Banco</t>
  </si>
  <si>
    <t>RESERVAS</t>
  </si>
  <si>
    <t>Cuenta No.</t>
  </si>
  <si>
    <t>Balance en Banco al:</t>
  </si>
  <si>
    <t>RD$</t>
  </si>
  <si>
    <t>Mas:</t>
  </si>
  <si>
    <t>Depositos en Transito</t>
  </si>
  <si>
    <t>Ajuste Credito</t>
  </si>
  <si>
    <t>Menos:</t>
  </si>
  <si>
    <t>Cheques en Transito</t>
  </si>
  <si>
    <t>Ajuste Debitos</t>
  </si>
  <si>
    <t>_____________</t>
  </si>
  <si>
    <t>Balance Ajustado al:</t>
  </si>
  <si>
    <t>Gobernacion Provincial</t>
  </si>
  <si>
    <t>Balance en libros  al:</t>
  </si>
  <si>
    <t>Depositos del mes</t>
  </si>
  <si>
    <t>Notas de Credito</t>
  </si>
  <si>
    <t>Ajustes de Credito</t>
  </si>
  <si>
    <t xml:space="preserve">Cheques emitidos </t>
  </si>
  <si>
    <t>Nota de  Debito</t>
  </si>
  <si>
    <t>Ajuste Debito</t>
  </si>
  <si>
    <t xml:space="preserve"> </t>
  </si>
  <si>
    <t xml:space="preserve">Notas     </t>
  </si>
  <si>
    <t>Preparado por:</t>
  </si>
  <si>
    <t>Visto Bueno</t>
  </si>
  <si>
    <t>GOBERNACION DE LA PROVINCIA SANTO DOMINGO</t>
  </si>
  <si>
    <t xml:space="preserve">ESTADOS DE INGRESOS Y EGRESOS </t>
  </si>
  <si>
    <t>DEL 01 DE MARZO   AL  31 DE  MARZO  DEL 2026</t>
  </si>
  <si>
    <t>INGRESOS</t>
  </si>
  <si>
    <t>Ministerios de Interior y Policia ( Fondo de Ayuda)</t>
  </si>
  <si>
    <t>Reintergarcion de cheque</t>
  </si>
  <si>
    <t>Total de Ingresos</t>
  </si>
  <si>
    <t>Egresos</t>
  </si>
  <si>
    <t>Titulo de la Cuenta</t>
  </si>
  <si>
    <t>Gastos Generales y Administrativos</t>
  </si>
  <si>
    <t>Alquiler Local</t>
  </si>
  <si>
    <t>Combustibles</t>
  </si>
  <si>
    <t>Energia  Electrica</t>
  </si>
  <si>
    <t>Telefonos</t>
  </si>
  <si>
    <t xml:space="preserve">Materiales Gstables </t>
  </si>
  <si>
    <t>Honorarios</t>
  </si>
  <si>
    <t>Impuesto Sobre la rentas 5%</t>
  </si>
  <si>
    <t>Mantenimientos y Reparaciones Activos Fijos</t>
  </si>
  <si>
    <t>Compras de Impresora</t>
  </si>
  <si>
    <t>Eventos y Festejos</t>
  </si>
  <si>
    <t>Impuesto Interno DGII</t>
  </si>
  <si>
    <t>Cargo Bancarios</t>
  </si>
  <si>
    <t>Otros Gastos</t>
  </si>
  <si>
    <t>Donaciones</t>
  </si>
  <si>
    <t>Medicamentos</t>
  </si>
  <si>
    <t>Deportes</t>
  </si>
  <si>
    <t>Reparacion de Vivienda</t>
  </si>
  <si>
    <t>Estudios y Procedimientos Medico</t>
  </si>
  <si>
    <t>Comunitaria</t>
  </si>
  <si>
    <t>TOTAL EGRESOS</t>
  </si>
  <si>
    <t xml:space="preserve">Demostracion de Balance </t>
  </si>
  <si>
    <t xml:space="preserve">Total de Ingresos </t>
  </si>
  <si>
    <t xml:space="preserve">(-) Total de Egresos </t>
  </si>
  <si>
    <t>Resultados del Periodo</t>
  </si>
  <si>
    <t xml:space="preserve">(+ -) Balance Anterior </t>
  </si>
  <si>
    <t xml:space="preserve">Disponible a la Fecha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</si>
</sst>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00000000_);\(#,##0.00000000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2"/>
      <name val="Bookman Old Style"/>
      <family val="1"/>
    </font>
    <font>
      <sz val="10"/>
      <name val="Arial"/>
      <family val="2"/>
    </font>
    <font>
      <b/>
      <sz val="12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Tahoma"/>
      <family val="2"/>
    </font>
    <font>
      <sz val="12"/>
      <color indexed="8"/>
      <name val="Tahoma"/>
      <family val="2"/>
    </font>
    <font>
      <sz val="12"/>
      <color rgb="FFFF0000"/>
      <name val="Tahoma"/>
      <family val="2"/>
    </font>
    <font>
      <b/>
      <u val="singleAccounting"/>
      <sz val="12"/>
      <color theme="1"/>
      <name val="Tahoma"/>
      <family val="2"/>
    </font>
    <font>
      <sz val="11"/>
      <color theme="1"/>
      <name val="Tahoma"/>
      <family val="2"/>
    </font>
    <font>
      <b/>
      <i/>
      <u/>
      <sz val="14"/>
      <color theme="1"/>
      <name val="Tahoma"/>
      <family val="2"/>
    </font>
    <font>
      <b/>
      <i/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u val="doubleAccounting"/>
      <sz val="11"/>
      <color theme="1"/>
      <name val="Tahoma"/>
      <family val="2"/>
    </font>
    <font>
      <b/>
      <sz val="11"/>
      <color theme="1"/>
      <name val="Tahoma"/>
      <family val="2"/>
    </font>
    <font>
      <b/>
      <u val="singleAccounting"/>
      <sz val="11"/>
      <color theme="1"/>
      <name val="Tahoma"/>
      <family val="2"/>
    </font>
    <font>
      <b/>
      <i/>
      <u val="singleAccounting"/>
      <sz val="11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82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/>
    <xf numFmtId="0" fontId="3" fillId="0" borderId="0" xfId="0" applyFont="1" applyFill="1"/>
    <xf numFmtId="14" fontId="3" fillId="0" borderId="6" xfId="2" applyNumberFormat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0" xfId="0" applyNumberFormat="1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3" fontId="2" fillId="0" borderId="6" xfId="1" applyFont="1" applyFill="1" applyBorder="1" applyAlignment="1">
      <alignment horizontal="right" vertical="center"/>
    </xf>
    <xf numFmtId="43" fontId="3" fillId="0" borderId="6" xfId="1" applyFont="1" applyFill="1" applyBorder="1" applyAlignment="1">
      <alignment horizontal="right" vertical="center" wrapText="1"/>
    </xf>
    <xf numFmtId="39" fontId="2" fillId="0" borderId="0" xfId="0" applyNumberFormat="1" applyFont="1" applyFill="1"/>
    <xf numFmtId="43" fontId="2" fillId="0" borderId="6" xfId="1" applyFont="1" applyFill="1" applyBorder="1" applyAlignment="1">
      <alignment horizontal="left" vertical="center" wrapText="1"/>
    </xf>
    <xf numFmtId="1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43" fontId="2" fillId="2" borderId="6" xfId="1" applyFont="1" applyFill="1" applyBorder="1" applyAlignment="1">
      <alignment horizontal="right" vertical="center"/>
    </xf>
    <xf numFmtId="43" fontId="3" fillId="0" borderId="6" xfId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/>
    <xf numFmtId="43" fontId="6" fillId="0" borderId="6" xfId="1" applyFont="1" applyFill="1" applyBorder="1" applyAlignment="1">
      <alignment horizontal="right" vertical="center"/>
    </xf>
    <xf numFmtId="43" fontId="3" fillId="0" borderId="0" xfId="0" applyNumberFormat="1" applyFont="1" applyFill="1"/>
    <xf numFmtId="164" fontId="2" fillId="0" borderId="0" xfId="0" applyNumberFormat="1" applyFont="1" applyFill="1"/>
    <xf numFmtId="0" fontId="7" fillId="0" borderId="0" xfId="0" applyFont="1" applyFill="1"/>
    <xf numFmtId="43" fontId="7" fillId="0" borderId="0" xfId="1" applyFont="1" applyFill="1"/>
    <xf numFmtId="0" fontId="7" fillId="0" borderId="6" xfId="0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14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1" fontId="9" fillId="0" borderId="6" xfId="0" applyNumberFormat="1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horizontal="right" vertical="center"/>
    </xf>
    <xf numFmtId="43" fontId="7" fillId="0" borderId="6" xfId="1" applyFont="1" applyFill="1" applyBorder="1"/>
    <xf numFmtId="43" fontId="10" fillId="0" borderId="0" xfId="1" applyFont="1" applyFill="1"/>
    <xf numFmtId="0" fontId="11" fillId="0" borderId="0" xfId="0" applyFont="1"/>
    <xf numFmtId="43" fontId="11" fillId="0" borderId="0" xfId="1" applyFont="1"/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0" xfId="1" applyFont="1"/>
    <xf numFmtId="0" fontId="13" fillId="0" borderId="4" xfId="0" applyFont="1" applyBorder="1"/>
    <xf numFmtId="0" fontId="13" fillId="0" borderId="4" xfId="0" applyFont="1" applyBorder="1" applyAlignment="1">
      <alignment horizontal="right"/>
    </xf>
    <xf numFmtId="0" fontId="14" fillId="0" borderId="0" xfId="0" applyFont="1"/>
    <xf numFmtId="0" fontId="13" fillId="0" borderId="0" xfId="0" applyFont="1" applyBorder="1"/>
    <xf numFmtId="0" fontId="7" fillId="0" borderId="6" xfId="0" applyFont="1" applyFill="1" applyBorder="1" applyAlignment="1">
      <alignment vertical="center" wrapText="1"/>
    </xf>
    <xf numFmtId="43" fontId="11" fillId="0" borderId="0" xfId="0" applyNumberFormat="1" applyFont="1"/>
    <xf numFmtId="14" fontId="13" fillId="0" borderId="4" xfId="0" applyNumberFormat="1" applyFont="1" applyBorder="1"/>
    <xf numFmtId="165" fontId="13" fillId="0" borderId="4" xfId="1" applyNumberFormat="1" applyFont="1" applyFill="1" applyBorder="1"/>
    <xf numFmtId="43" fontId="13" fillId="0" borderId="4" xfId="1" applyFont="1" applyBorder="1"/>
    <xf numFmtId="43" fontId="13" fillId="0" borderId="8" xfId="1" applyFont="1" applyBorder="1"/>
    <xf numFmtId="165" fontId="13" fillId="0" borderId="4" xfId="1" applyNumberFormat="1" applyFont="1" applyBorder="1"/>
    <xf numFmtId="164" fontId="13" fillId="0" borderId="0" xfId="0" applyNumberFormat="1" applyFont="1"/>
    <xf numFmtId="165" fontId="15" fillId="0" borderId="0" xfId="1" applyNumberFormat="1" applyFont="1"/>
    <xf numFmtId="164" fontId="11" fillId="0" borderId="0" xfId="0" applyNumberFormat="1" applyFont="1"/>
    <xf numFmtId="43" fontId="16" fillId="0" borderId="4" xfId="1" applyFont="1" applyBorder="1"/>
    <xf numFmtId="43" fontId="11" fillId="0" borderId="4" xfId="1" applyFont="1" applyBorder="1"/>
    <xf numFmtId="165" fontId="17" fillId="0" borderId="0" xfId="1" applyNumberFormat="1" applyFont="1"/>
    <xf numFmtId="0" fontId="16" fillId="0" borderId="0" xfId="0" applyFont="1" applyAlignment="1">
      <alignment horizontal="right"/>
    </xf>
    <xf numFmtId="165" fontId="18" fillId="0" borderId="0" xfId="0" applyNumberFormat="1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0" fontId="13" fillId="0" borderId="8" xfId="0" applyFont="1" applyBorder="1"/>
    <xf numFmtId="0" fontId="13" fillId="0" borderId="8" xfId="0" applyFont="1" applyBorder="1" applyAlignment="1">
      <alignment horizontal="right"/>
    </xf>
    <xf numFmtId="0" fontId="7" fillId="0" borderId="0" xfId="0" applyFont="1"/>
    <xf numFmtId="43" fontId="7" fillId="0" borderId="0" xfId="1" applyFont="1"/>
    <xf numFmtId="0" fontId="19" fillId="0" borderId="0" xfId="0" applyFont="1"/>
    <xf numFmtId="14" fontId="19" fillId="0" borderId="0" xfId="0" applyNumberFormat="1" applyFont="1"/>
    <xf numFmtId="0" fontId="19" fillId="0" borderId="0" xfId="0" applyFont="1" applyAlignment="1">
      <alignment horizontal="right"/>
    </xf>
    <xf numFmtId="0" fontId="19" fillId="0" borderId="6" xfId="0" applyFont="1" applyBorder="1"/>
    <xf numFmtId="14" fontId="19" fillId="0" borderId="6" xfId="0" applyNumberFormat="1" applyFont="1" applyBorder="1"/>
    <xf numFmtId="0" fontId="19" fillId="0" borderId="6" xfId="0" applyFont="1" applyBorder="1" applyAlignment="1">
      <alignment horizontal="right"/>
    </xf>
    <xf numFmtId="17" fontId="19" fillId="0" borderId="6" xfId="0" applyNumberFormat="1" applyFont="1" applyBorder="1" applyAlignment="1">
      <alignment horizontal="right"/>
    </xf>
    <xf numFmtId="0" fontId="7" fillId="0" borderId="6" xfId="0" applyFont="1" applyBorder="1"/>
    <xf numFmtId="43" fontId="7" fillId="0" borderId="6" xfId="1" applyFont="1" applyBorder="1"/>
    <xf numFmtId="14" fontId="7" fillId="0" borderId="6" xfId="0" applyNumberFormat="1" applyFont="1" applyBorder="1"/>
    <xf numFmtId="43" fontId="7" fillId="0" borderId="6" xfId="1" applyFont="1" applyBorder="1" applyAlignment="1">
      <alignment horizontal="right"/>
    </xf>
    <xf numFmtId="166" fontId="7" fillId="0" borderId="6" xfId="1" applyNumberFormat="1" applyFont="1" applyBorder="1"/>
    <xf numFmtId="14" fontId="7" fillId="0" borderId="10" xfId="0" applyNumberFormat="1" applyFont="1" applyBorder="1"/>
    <xf numFmtId="43" fontId="7" fillId="0" borderId="10" xfId="1" applyFont="1" applyBorder="1" applyAlignment="1">
      <alignment horizontal="right"/>
    </xf>
    <xf numFmtId="166" fontId="7" fillId="0" borderId="10" xfId="1" applyNumberFormat="1" applyFont="1" applyBorder="1"/>
    <xf numFmtId="0" fontId="19" fillId="0" borderId="11" xfId="0" applyFont="1" applyBorder="1"/>
    <xf numFmtId="14" fontId="19" fillId="0" borderId="12" xfId="0" applyNumberFormat="1" applyFont="1" applyBorder="1" applyAlignment="1">
      <alignment horizontal="center"/>
    </xf>
    <xf numFmtId="14" fontId="19" fillId="0" borderId="13" xfId="0" applyNumberFormat="1" applyFont="1" applyBorder="1" applyAlignment="1">
      <alignment horizontal="center"/>
    </xf>
    <xf numFmtId="43" fontId="19" fillId="0" borderId="14" xfId="1" applyFont="1" applyBorder="1" applyAlignment="1">
      <alignment horizontal="right"/>
    </xf>
    <xf numFmtId="43" fontId="19" fillId="0" borderId="6" xfId="1" applyFont="1" applyBorder="1" applyAlignment="1">
      <alignment horizontal="right"/>
    </xf>
    <xf numFmtId="166" fontId="19" fillId="0" borderId="6" xfId="1" applyNumberFormat="1" applyFont="1" applyBorder="1"/>
    <xf numFmtId="0" fontId="19" fillId="0" borderId="7" xfId="0" applyFont="1" applyBorder="1"/>
    <xf numFmtId="14" fontId="19" fillId="0" borderId="15" xfId="0" applyNumberFormat="1" applyFont="1" applyBorder="1"/>
    <xf numFmtId="14" fontId="19" fillId="0" borderId="16" xfId="0" applyNumberFormat="1" applyFont="1" applyBorder="1"/>
    <xf numFmtId="43" fontId="19" fillId="0" borderId="17" xfId="1" applyFont="1" applyBorder="1" applyAlignment="1">
      <alignment horizontal="right"/>
    </xf>
    <xf numFmtId="166" fontId="19" fillId="0" borderId="17" xfId="1" applyNumberFormat="1" applyFont="1" applyBorder="1" applyAlignment="1">
      <alignment horizontal="right"/>
    </xf>
    <xf numFmtId="166" fontId="7" fillId="0" borderId="0" xfId="1" applyNumberFormat="1" applyFont="1"/>
    <xf numFmtId="0" fontId="19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43" fontId="19" fillId="0" borderId="19" xfId="1" applyFont="1" applyBorder="1" applyAlignment="1"/>
    <xf numFmtId="0" fontId="7" fillId="0" borderId="22" xfId="0" applyFont="1" applyBorder="1" applyAlignment="1">
      <alignment horizontal="center"/>
    </xf>
    <xf numFmtId="43" fontId="7" fillId="0" borderId="22" xfId="1" applyFont="1" applyBorder="1" applyAlignment="1"/>
    <xf numFmtId="43" fontId="7" fillId="0" borderId="22" xfId="1" applyFont="1" applyBorder="1"/>
    <xf numFmtId="43" fontId="7" fillId="0" borderId="14" xfId="1" applyFont="1" applyBorder="1" applyAlignment="1"/>
    <xf numFmtId="43" fontId="7" fillId="0" borderId="14" xfId="1" applyFont="1" applyBorder="1"/>
    <xf numFmtId="0" fontId="7" fillId="0" borderId="10" xfId="0" applyFont="1" applyBorder="1" applyAlignment="1">
      <alignment horizontal="center"/>
    </xf>
    <xf numFmtId="43" fontId="7" fillId="0" borderId="10" xfId="1" applyFont="1" applyBorder="1" applyAlignment="1"/>
    <xf numFmtId="43" fontId="7" fillId="0" borderId="10" xfId="1" applyFont="1" applyBorder="1"/>
    <xf numFmtId="0" fontId="19" fillId="0" borderId="15" xfId="0" applyFont="1" applyBorder="1" applyAlignment="1">
      <alignment horizontal="center"/>
    </xf>
    <xf numFmtId="43" fontId="19" fillId="0" borderId="17" xfId="1" applyFont="1" applyBorder="1" applyAlignment="1"/>
    <xf numFmtId="43" fontId="19" fillId="0" borderId="23" xfId="1" applyFont="1" applyBorder="1" applyAlignment="1"/>
    <xf numFmtId="43" fontId="7" fillId="0" borderId="0" xfId="0" applyNumberFormat="1" applyFont="1"/>
    <xf numFmtId="0" fontId="7" fillId="0" borderId="6" xfId="0" applyFont="1" applyBorder="1" applyAlignment="1">
      <alignment horizontal="center"/>
    </xf>
    <xf numFmtId="43" fontId="7" fillId="0" borderId="6" xfId="1" applyFont="1" applyBorder="1" applyAlignment="1"/>
    <xf numFmtId="166" fontId="7" fillId="0" borderId="22" xfId="1" applyNumberFormat="1" applyFont="1" applyBorder="1"/>
    <xf numFmtId="0" fontId="7" fillId="0" borderId="11" xfId="0" applyFont="1" applyBorder="1" applyAlignment="1">
      <alignment horizontal="center"/>
    </xf>
    <xf numFmtId="16" fontId="19" fillId="0" borderId="15" xfId="0" applyNumberFormat="1" applyFont="1" applyBorder="1"/>
    <xf numFmtId="43" fontId="19" fillId="0" borderId="20" xfId="1" applyFont="1" applyBorder="1" applyAlignment="1"/>
    <xf numFmtId="166" fontId="19" fillId="0" borderId="24" xfId="1" applyNumberFormat="1" applyFont="1" applyBorder="1"/>
    <xf numFmtId="43" fontId="19" fillId="0" borderId="6" xfId="1" applyFont="1" applyBorder="1"/>
    <xf numFmtId="166" fontId="7" fillId="0" borderId="23" xfId="1" applyNumberFormat="1" applyFont="1" applyBorder="1" applyAlignment="1"/>
    <xf numFmtId="0" fontId="7" fillId="0" borderId="0" xfId="0" applyFont="1" applyAlignment="1">
      <alignment horizontal="center"/>
    </xf>
    <xf numFmtId="0" fontId="7" fillId="0" borderId="1" xfId="0" applyFont="1" applyBorder="1"/>
    <xf numFmtId="43" fontId="19" fillId="0" borderId="0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43" fontId="19" fillId="0" borderId="0" xfId="1" applyFont="1" applyBorder="1"/>
    <xf numFmtId="0" fontId="19" fillId="0" borderId="19" xfId="0" applyFont="1" applyBorder="1" applyAlignment="1">
      <alignment horizontal="center"/>
    </xf>
    <xf numFmtId="43" fontId="7" fillId="0" borderId="0" xfId="1" applyFont="1" applyAlignment="1"/>
    <xf numFmtId="43" fontId="19" fillId="0" borderId="0" xfId="1" applyFont="1" applyAlignment="1">
      <alignment horizontal="center"/>
    </xf>
    <xf numFmtId="43" fontId="19" fillId="0" borderId="6" xfId="1" applyFont="1" applyBorder="1" applyAlignment="1">
      <alignment horizontal="center"/>
    </xf>
    <xf numFmtId="166" fontId="19" fillId="0" borderId="6" xfId="1" applyNumberFormat="1" applyFont="1" applyBorder="1" applyAlignment="1">
      <alignment horizontal="center"/>
    </xf>
    <xf numFmtId="166" fontId="7" fillId="0" borderId="0" xfId="0" applyNumberFormat="1" applyFont="1"/>
    <xf numFmtId="43" fontId="7" fillId="0" borderId="0" xfId="1" applyFont="1" applyBorder="1"/>
    <xf numFmtId="0" fontId="19" fillId="0" borderId="0" xfId="0" applyFont="1" applyAlignment="1">
      <alignment horizontal="center"/>
    </xf>
    <xf numFmtId="43" fontId="19" fillId="0" borderId="0" xfId="1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39" fontId="7" fillId="0" borderId="0" xfId="0" applyNumberFormat="1" applyFont="1"/>
    <xf numFmtId="167" fontId="19" fillId="0" borderId="0" xfId="0" applyNumberFormat="1" applyFont="1"/>
    <xf numFmtId="4" fontId="7" fillId="0" borderId="0" xfId="0" applyNumberFormat="1" applyFont="1"/>
    <xf numFmtId="4" fontId="19" fillId="0" borderId="0" xfId="0" applyNumberFormat="1" applyFont="1"/>
    <xf numFmtId="39" fontId="7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7" fontId="5" fillId="0" borderId="4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9" xfId="0" applyFont="1" applyBorder="1"/>
    <xf numFmtId="0" fontId="19" fillId="0" borderId="2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7" fillId="0" borderId="10" xfId="0" applyFont="1" applyBorder="1"/>
    <xf numFmtId="0" fontId="19" fillId="0" borderId="19" xfId="0" applyFont="1" applyBorder="1"/>
    <xf numFmtId="0" fontId="19" fillId="0" borderId="17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8" xfId="0" applyFont="1" applyBorder="1"/>
    <xf numFmtId="0" fontId="7" fillId="0" borderId="2" xfId="0" applyFont="1" applyBorder="1"/>
    <xf numFmtId="14" fontId="7" fillId="0" borderId="6" xfId="0" applyNumberFormat="1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/>
    <xf numFmtId="0" fontId="19" fillId="0" borderId="0" xfId="0" applyFont="1" applyAlignment="1">
      <alignment horizontal="center"/>
    </xf>
    <xf numFmtId="14" fontId="7" fillId="0" borderId="7" xfId="0" applyNumberFormat="1" applyFont="1" applyBorder="1" applyAlignment="1">
      <alignment horizontal="left"/>
    </xf>
    <xf numFmtId="14" fontId="7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o%20Domingo/Downloads/Backup%20GOB/Escritorio/TODOS%20TRANAJO%20POR%20SANDRA/CONCILIACI&#211;N%20BANCARIA%20DE%20LA%20GOBERNACI&#211;N/LIBRO%20DE%20BANCO%20CONCILIADO%20GOBERN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o%20Domingo/Downloads/Backup%20GOB/Escritorio/TODOS%20TRANAJO%20POR%20SANDRA/CONCILIACI&#211;N%20BANCARIA%20DE%20LA%20GOBERNACI&#211;N/CONCILIACION%20%202020-2025%20POR%20MES%20%20CTA%2025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o%20Domingo/Downloads/Backup%20GOB/Escritorio/TODOS%20TRANAJO%20POR%20SANDRA/CONCILIACI&#211;N%20BANCARIA%20DE%20LA%20GOBERNACI&#211;N/ESTADOS%20DE%20INGRESOS%20Y%20EGRESOS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2 (19)"/>
      <sheetName val="SEPTIEMBRE 2020"/>
      <sheetName val="OCTUBRE 2020"/>
      <sheetName val="NOVIEMBRE 2020"/>
      <sheetName val="DICIEMBRE  2020 (2)"/>
      <sheetName val="ENERO  2021 (3)"/>
      <sheetName val="FEBRERO  2021 (4)"/>
      <sheetName val="MARZO  2021 (5)"/>
      <sheetName val="ABRIL  2021 (6)"/>
      <sheetName val="MAYO  2021 (7)"/>
      <sheetName val="JUNIO  2021 (8)"/>
      <sheetName val="JULIO  2021 (9)"/>
      <sheetName val="AGOSTO 2021 (10)"/>
      <sheetName val="SEPTIEMBRE 2021 (11)"/>
      <sheetName val="OCTUBRE 2021 (12)"/>
      <sheetName val="NOVIEMBRE 2021 (13)"/>
      <sheetName val="DICIEMBRE 2021 (14)"/>
      <sheetName val="ENERO 2022 (15)"/>
      <sheetName val="FEBRERO 2022 (16)"/>
      <sheetName val="MARZO 2022 (17)"/>
      <sheetName val="ABRIL 2022 (18)"/>
      <sheetName val="MAYO 2022 (20)"/>
      <sheetName val="JUNIO 2022 (21)"/>
      <sheetName val="JULIO 2022 (22)"/>
      <sheetName val="AGOSTO 2022 (23)"/>
      <sheetName val="SEPTIEMBRE 2022 (24)"/>
      <sheetName val="OCTUBRE 2022 (25)"/>
      <sheetName val="NOVIEMBRE 2022 (26)"/>
      <sheetName val="DICIEMBRE 2022 (27)"/>
      <sheetName val="ENERO 2023 (28)"/>
      <sheetName val="FEBRERO 2023 (29)"/>
      <sheetName val="MARZO 2023 (30)"/>
      <sheetName val="ABRIL 2023 (31)"/>
      <sheetName val="MAYO 2023 (32)"/>
      <sheetName val="JUNIO 2023"/>
      <sheetName val="JULIO 2023"/>
      <sheetName val="AGOSTO 2023"/>
      <sheetName val="SEPTIEMBRE 2023"/>
      <sheetName val="OCTUBRE 2023"/>
      <sheetName val="NOVIEMBRE 2023"/>
      <sheetName val="DICIEMBRE 2023 "/>
      <sheetName val="ENERO 2024"/>
      <sheetName val="FEBRERO 2024"/>
      <sheetName val="MARZO 2024"/>
      <sheetName val="ABRIL 2024"/>
      <sheetName val="MAYO 2024"/>
      <sheetName val="JUNIO 2024"/>
      <sheetName val="JULIO 2024 "/>
      <sheetName val="AGOSTO 2024"/>
      <sheetName val="SEPTIEMBRE 2024"/>
      <sheetName val="OCTUBRE 2024"/>
      <sheetName val="NOVIEMBRE 2024"/>
      <sheetName val="DICIEMBRE 2024"/>
      <sheetName val="ENERO 2025 "/>
      <sheetName val="FEBRERO 2025"/>
      <sheetName val="MARZO 2025"/>
      <sheetName val="ABRIL 2025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DICIEMBRE 2025"/>
      <sheetName val="ENERO 2026"/>
      <sheetName val="FEBRERO 2026"/>
      <sheetName val="MARZO 2026"/>
      <sheetName val="ABRIL 2026"/>
      <sheetName val="EY F"/>
      <sheetName val="Hoja2"/>
      <sheetName val="MAR-ABR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50">
          <cell r="I50">
            <v>391131.6765400013</v>
          </cell>
        </row>
      </sheetData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Sept. 2020"/>
      <sheetName val="Conciliacion OCT. 2020 (2)"/>
      <sheetName val="Conciliacion Nov.. 2020 (3)"/>
      <sheetName val="Conciliacion DICIEMB.. 2020 (4)"/>
      <sheetName val="Conciliacion ENERO.. 2021 (5"/>
      <sheetName val="Conciliacion FEBRER.. 2021 ( (2"/>
      <sheetName val="Conciliacion MARZO 2021  (2"/>
      <sheetName val="Conciliacion ABRIL 2021  (2 (2"/>
      <sheetName val="Conciliacion MAYO 2021  (2  (2"/>
      <sheetName val="Conciliacion JUNIO 2021  (2 "/>
      <sheetName val="Conciliacion JULIO 2021"/>
      <sheetName val="Conciliacion AGOSTO 2021 (2)"/>
      <sheetName val="Conciliacion SEPTIEMBR 2021 (3)"/>
      <sheetName val="Conciliacion OCTUBRE 2021 (4"/>
      <sheetName val="Conciliacion NOVIEMBR 2021 ( (2"/>
      <sheetName val="Conciliacion DICIEMBRE 2021  (2"/>
      <sheetName val="Conciliacion ENERO 2022 (2"/>
      <sheetName val="Conciliacion FEBRERO 2022  (2)"/>
      <sheetName val="Conciliacion MARZO 2022  (3)"/>
      <sheetName val="Conciliacion ABRIL 2022  (4)"/>
      <sheetName val="Conciliacion MAYO 2022  (5)"/>
      <sheetName val="Conciliacion JUNIO 2022  (6)"/>
      <sheetName val="Conciliacion JULIO 2022  (7)"/>
      <sheetName val="Conciliacion AGOSTO 2022  (8)"/>
      <sheetName val="Conciliacion SEPT. 2022  (9)"/>
      <sheetName val="Conciliacion OCTUBR. 2022  (10)"/>
      <sheetName val="Conciliacion NOVIEMB. 2022  (11"/>
      <sheetName val="Conciliacion DICIEMBR. 2022  (2"/>
      <sheetName val="Conciliacion ENERO. 2023 (2"/>
      <sheetName val="Conciliacion FEBRER. 2023 (2 (2"/>
      <sheetName val="Conciliacion MARZO. 2023 ( (2"/>
      <sheetName val="Conciliacion ABRIL 2023 (  (2"/>
      <sheetName val="Conciliacion MAYO 2023 (   (2"/>
      <sheetName val="Conciliacion JUNIO 2023"/>
      <sheetName val="JULIO 2023 CONCILIACION"/>
      <sheetName val="AGOSTO 2023 CONCILIACION"/>
      <sheetName val="SEPTIEMBRE 2023 CONCILIACION "/>
      <sheetName val="OCTUBRE 2023 CONCILIACION"/>
      <sheetName val="NOVIEMBRE 2023 CONCILIACION "/>
      <sheetName val="DICIEMBRE 2023 CONCILIACION"/>
      <sheetName val="ENERO 2024"/>
      <sheetName val="FEBRERO 2024"/>
      <sheetName val="MARZO 2024"/>
      <sheetName val="ABRIL 2024"/>
      <sheetName val="MAYO 2024"/>
      <sheetName val="JUNIO 2024"/>
      <sheetName val="JULIO 2024"/>
      <sheetName val="AGOSTO 2024"/>
      <sheetName val="SEPTIEMBRE 2024"/>
      <sheetName val="OCTUBRE 2024"/>
      <sheetName val="NOVIEMBRE 2024"/>
      <sheetName val="DICIEMBRE 2024"/>
      <sheetName val="ENERO 2025"/>
      <sheetName val="FEBRERO 2025"/>
      <sheetName val="MARZO 2025"/>
      <sheetName val="ABRIL 2025"/>
      <sheetName val="CONCILIACION E YF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DICIEMBRE 2025"/>
      <sheetName val="ENERO 2026"/>
      <sheetName val="FEBRERO 2026"/>
      <sheetName val="MARZO 2026"/>
      <sheetName val="ABRIL 2026"/>
      <sheetName val="CONCILIACION M Y 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4">
          <cell r="G44">
            <v>391131.63999999739</v>
          </cell>
        </row>
      </sheetData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IFORME A L 30-08-2023"/>
      <sheetName val="enero-2023 a diciembre 2023"/>
      <sheetName val="FEBRERO 2024"/>
      <sheetName val="MARZO 2024"/>
      <sheetName val="ABRIL 2024"/>
      <sheetName val="MAYO 2024 "/>
      <sheetName val="JUNIO 2024"/>
      <sheetName val="JULIO 2024"/>
      <sheetName val="AGOSTO 2024"/>
      <sheetName val="SEPTIEMBRE 2024"/>
      <sheetName val="OCTUBRE 2024"/>
      <sheetName val="NOVIEMBRE 2024"/>
      <sheetName val="DICIEMBRE 2024"/>
      <sheetName val="ENERO 2025"/>
      <sheetName val="FEBRERO 2025"/>
      <sheetName val="MARZO 2025"/>
      <sheetName val="ABRIL 2025"/>
      <sheetName val="liquidacion de fondo"/>
      <sheetName val="tris mestral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DICIEMBRE 2025"/>
      <sheetName val="ENERO 2026"/>
      <sheetName val="FEBRERO 2026"/>
      <sheetName val="MARZO 2026"/>
      <sheetName val="ABRIL 2026"/>
      <sheetName val="CONSOLIDADO"/>
      <sheetName val="consiolidados de tdc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50">
          <cell r="U50">
            <v>391132.2099999995</v>
          </cell>
        </row>
      </sheetData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view="pageBreakPreview" zoomScale="60" zoomScaleNormal="100" workbookViewId="0">
      <selection sqref="A1:XFD1048576"/>
    </sheetView>
  </sheetViews>
  <sheetFormatPr baseColWidth="10" defaultColWidth="23.5703125" defaultRowHeight="15.75" x14ac:dyDescent="0.25"/>
  <cols>
    <col min="1" max="1" width="16.85546875" style="1" customWidth="1"/>
    <col min="2" max="2" width="34" style="2" customWidth="1"/>
    <col min="3" max="3" width="45.28515625" style="3" customWidth="1"/>
    <col min="4" max="5" width="23.5703125" style="4"/>
    <col min="6" max="7" width="23.5703125" style="5"/>
    <col min="8" max="8" width="23.5703125" style="6"/>
    <col min="9" max="9" width="23.5703125" style="4"/>
    <col min="10" max="10" width="23.5703125" style="5"/>
    <col min="11" max="16384" width="23.5703125" style="4"/>
  </cols>
  <sheetData>
    <row r="1" spans="1:12" ht="17.25" customHeight="1" x14ac:dyDescent="0.25"/>
    <row r="2" spans="1:12" ht="17.25" customHeight="1" x14ac:dyDescent="0.25"/>
    <row r="3" spans="1:12" ht="17.25" customHeight="1" x14ac:dyDescent="0.25">
      <c r="A3" s="145" t="s">
        <v>0</v>
      </c>
      <c r="B3" s="145"/>
      <c r="C3" s="145"/>
      <c r="D3" s="145"/>
      <c r="E3" s="145"/>
      <c r="F3" s="145"/>
      <c r="G3" s="145"/>
      <c r="H3" s="145"/>
      <c r="I3" s="146"/>
    </row>
    <row r="4" spans="1:12" ht="17.25" customHeight="1" x14ac:dyDescent="0.25">
      <c r="A4" s="147" t="s">
        <v>1</v>
      </c>
      <c r="B4" s="147"/>
      <c r="C4" s="147"/>
      <c r="D4" s="147"/>
      <c r="E4" s="147"/>
      <c r="F4" s="147"/>
      <c r="G4" s="147"/>
      <c r="H4" s="147"/>
      <c r="I4" s="148"/>
    </row>
    <row r="5" spans="1:12" ht="17.25" customHeight="1" x14ac:dyDescent="0.25">
      <c r="A5" s="147" t="s">
        <v>2</v>
      </c>
      <c r="B5" s="147"/>
      <c r="C5" s="147"/>
      <c r="D5" s="147"/>
      <c r="E5" s="147"/>
      <c r="F5" s="147"/>
      <c r="G5" s="147"/>
      <c r="H5" s="147"/>
      <c r="I5" s="148"/>
    </row>
    <row r="6" spans="1:12" ht="17.25" customHeight="1" x14ac:dyDescent="0.25">
      <c r="A6" s="147" t="s">
        <v>3</v>
      </c>
      <c r="B6" s="147"/>
      <c r="C6" s="147"/>
      <c r="D6" s="147"/>
      <c r="E6" s="147"/>
      <c r="F6" s="147"/>
      <c r="G6" s="147"/>
      <c r="H6" s="147"/>
      <c r="I6" s="148"/>
    </row>
    <row r="7" spans="1:12" ht="17.25" customHeight="1" x14ac:dyDescent="0.25">
      <c r="A7" s="147" t="s">
        <v>4</v>
      </c>
      <c r="B7" s="147"/>
      <c r="C7" s="147"/>
      <c r="D7" s="147"/>
      <c r="E7" s="147"/>
      <c r="F7" s="147"/>
      <c r="G7" s="147"/>
      <c r="H7" s="147"/>
      <c r="I7" s="148"/>
    </row>
    <row r="8" spans="1:12" ht="17.25" customHeight="1" x14ac:dyDescent="0.25">
      <c r="A8" s="149" t="s">
        <v>5</v>
      </c>
      <c r="B8" s="150"/>
      <c r="C8" s="150"/>
      <c r="D8" s="150"/>
      <c r="E8" s="150"/>
      <c r="F8" s="150"/>
      <c r="G8" s="150"/>
      <c r="H8" s="150"/>
      <c r="I8" s="151"/>
    </row>
    <row r="9" spans="1:12" ht="41.25" customHeight="1" x14ac:dyDescent="0.25">
      <c r="A9" s="7" t="s">
        <v>6</v>
      </c>
      <c r="B9" s="8" t="s">
        <v>7</v>
      </c>
      <c r="C9" s="9" t="s">
        <v>8</v>
      </c>
      <c r="D9" s="10" t="s">
        <v>9</v>
      </c>
      <c r="E9" s="10" t="s">
        <v>10</v>
      </c>
      <c r="F9" s="11" t="s">
        <v>11</v>
      </c>
      <c r="G9" s="11" t="s">
        <v>12</v>
      </c>
      <c r="H9" s="10" t="s">
        <v>13</v>
      </c>
      <c r="I9" s="10" t="s">
        <v>14</v>
      </c>
    </row>
    <row r="10" spans="1:12" ht="41.25" customHeight="1" x14ac:dyDescent="0.25">
      <c r="A10" s="7">
        <v>46081</v>
      </c>
      <c r="B10" s="8" t="s">
        <v>15</v>
      </c>
      <c r="C10" s="12" t="s">
        <v>16</v>
      </c>
      <c r="D10" s="10"/>
      <c r="E10" s="13">
        <v>2302042950</v>
      </c>
      <c r="F10" s="11"/>
      <c r="G10" s="11"/>
      <c r="H10" s="11">
        <v>0</v>
      </c>
      <c r="I10" s="11">
        <f>+'[1]FEBRERO 2026'!I50</f>
        <v>391131.6765400013</v>
      </c>
      <c r="K10" s="14"/>
    </row>
    <row r="11" spans="1:12" ht="50.25" customHeight="1" x14ac:dyDescent="0.25">
      <c r="A11" s="7">
        <v>46082</v>
      </c>
      <c r="B11" s="8" t="s">
        <v>17</v>
      </c>
      <c r="C11" s="12" t="s">
        <v>18</v>
      </c>
      <c r="D11" s="15"/>
      <c r="E11" s="13">
        <v>2302042950</v>
      </c>
      <c r="F11" s="11"/>
      <c r="G11" s="11">
        <f t="shared" ref="G11:G35" si="0">+F11*0.15%</f>
        <v>0</v>
      </c>
      <c r="H11" s="11">
        <v>481764</v>
      </c>
      <c r="I11" s="11">
        <f>+I10-F11-G11+H11</f>
        <v>872895.6765400013</v>
      </c>
      <c r="K11" s="14"/>
    </row>
    <row r="12" spans="1:12" ht="69" customHeight="1" x14ac:dyDescent="0.25">
      <c r="A12" s="7">
        <v>46084</v>
      </c>
      <c r="B12" s="16" t="s">
        <v>19</v>
      </c>
      <c r="C12" s="12" t="s">
        <v>20</v>
      </c>
      <c r="D12" s="15" t="s">
        <v>21</v>
      </c>
      <c r="E12" s="13">
        <v>2302042950</v>
      </c>
      <c r="F12" s="11">
        <v>6533.65</v>
      </c>
      <c r="G12" s="11">
        <f t="shared" si="0"/>
        <v>9.8004750000000005</v>
      </c>
      <c r="H12" s="11"/>
      <c r="I12" s="11">
        <f>+I11-F12-G12+H12</f>
        <v>866352.22606500122</v>
      </c>
      <c r="K12" s="14"/>
    </row>
    <row r="13" spans="1:12" ht="72" customHeight="1" x14ac:dyDescent="0.25">
      <c r="A13" s="7">
        <v>46084</v>
      </c>
      <c r="B13" s="16" t="s">
        <v>22</v>
      </c>
      <c r="C13" s="12" t="s">
        <v>23</v>
      </c>
      <c r="D13" s="15" t="s">
        <v>24</v>
      </c>
      <c r="E13" s="13">
        <v>2302042950</v>
      </c>
      <c r="F13" s="17">
        <v>53254</v>
      </c>
      <c r="G13" s="11">
        <f t="shared" si="0"/>
        <v>79.881</v>
      </c>
      <c r="H13" s="18"/>
      <c r="I13" s="11">
        <f t="shared" ref="I13:I35" si="1">+I12-F13-G13+H13</f>
        <v>813018.34506500117</v>
      </c>
      <c r="K13" s="19"/>
      <c r="L13" s="14"/>
    </row>
    <row r="14" spans="1:12" ht="72" customHeight="1" x14ac:dyDescent="0.25">
      <c r="A14" s="7">
        <v>46085</v>
      </c>
      <c r="B14" s="16" t="s">
        <v>25</v>
      </c>
      <c r="C14" s="12" t="s">
        <v>26</v>
      </c>
      <c r="D14" s="15" t="s">
        <v>27</v>
      </c>
      <c r="E14" s="13">
        <v>2302042950</v>
      </c>
      <c r="F14" s="17">
        <v>15708</v>
      </c>
      <c r="G14" s="11">
        <f t="shared" si="0"/>
        <v>23.562000000000001</v>
      </c>
      <c r="H14" s="18"/>
      <c r="I14" s="11">
        <f t="shared" si="1"/>
        <v>797286.78306500113</v>
      </c>
      <c r="K14" s="19"/>
      <c r="L14" s="14"/>
    </row>
    <row r="15" spans="1:12" ht="72" customHeight="1" x14ac:dyDescent="0.25">
      <c r="A15" s="7">
        <v>46092</v>
      </c>
      <c r="B15" s="16" t="s">
        <v>28</v>
      </c>
      <c r="C15" s="16" t="s">
        <v>29</v>
      </c>
      <c r="D15" s="15" t="s">
        <v>30</v>
      </c>
      <c r="E15" s="13">
        <v>2302042950</v>
      </c>
      <c r="F15" s="17">
        <v>15590.17</v>
      </c>
      <c r="G15" s="11">
        <f t="shared" si="0"/>
        <v>23.385255000000001</v>
      </c>
      <c r="H15" s="18"/>
      <c r="I15" s="11">
        <f t="shared" si="1"/>
        <v>781673.22781000112</v>
      </c>
      <c r="K15" s="19"/>
      <c r="L15" s="14"/>
    </row>
    <row r="16" spans="1:12" ht="92.25" customHeight="1" x14ac:dyDescent="0.25">
      <c r="A16" s="7">
        <v>46092</v>
      </c>
      <c r="B16" s="16" t="s">
        <v>31</v>
      </c>
      <c r="C16" s="16" t="s">
        <v>32</v>
      </c>
      <c r="D16" s="15" t="s">
        <v>33</v>
      </c>
      <c r="E16" s="13">
        <v>2302042950</v>
      </c>
      <c r="F16" s="17">
        <v>6272</v>
      </c>
      <c r="G16" s="11">
        <f t="shared" si="0"/>
        <v>9.4079999999999995</v>
      </c>
      <c r="H16" s="18"/>
      <c r="I16" s="11">
        <f t="shared" si="1"/>
        <v>775391.81981000106</v>
      </c>
      <c r="K16" s="19"/>
      <c r="L16" s="14"/>
    </row>
    <row r="17" spans="1:12" ht="112.5" customHeight="1" x14ac:dyDescent="0.25">
      <c r="A17" s="7">
        <v>46092</v>
      </c>
      <c r="B17" s="16" t="s">
        <v>19</v>
      </c>
      <c r="C17" s="16" t="s">
        <v>34</v>
      </c>
      <c r="D17" s="15" t="s">
        <v>35</v>
      </c>
      <c r="E17" s="13">
        <v>2302042950</v>
      </c>
      <c r="F17" s="17">
        <v>1719.9</v>
      </c>
      <c r="G17" s="11">
        <f t="shared" si="0"/>
        <v>2.57985</v>
      </c>
      <c r="H17" s="18"/>
      <c r="I17" s="11">
        <f t="shared" si="1"/>
        <v>773669.33996000106</v>
      </c>
      <c r="K17" s="19"/>
      <c r="L17" s="14"/>
    </row>
    <row r="18" spans="1:12" ht="114.75" customHeight="1" x14ac:dyDescent="0.25">
      <c r="A18" s="7">
        <v>46368</v>
      </c>
      <c r="B18" s="16" t="s">
        <v>36</v>
      </c>
      <c r="C18" s="16" t="s">
        <v>37</v>
      </c>
      <c r="D18" s="15" t="s">
        <v>38</v>
      </c>
      <c r="E18" s="13">
        <v>2302042950</v>
      </c>
      <c r="F18" s="17">
        <v>20000</v>
      </c>
      <c r="G18" s="11">
        <f t="shared" si="0"/>
        <v>30</v>
      </c>
      <c r="H18" s="18"/>
      <c r="I18" s="11">
        <f t="shared" si="1"/>
        <v>753639.33996000106</v>
      </c>
      <c r="K18" s="19"/>
      <c r="L18" s="14"/>
    </row>
    <row r="19" spans="1:12" ht="105.75" customHeight="1" x14ac:dyDescent="0.25">
      <c r="A19" s="7">
        <v>46368</v>
      </c>
      <c r="B19" s="16" t="s">
        <v>39</v>
      </c>
      <c r="C19" s="16" t="s">
        <v>40</v>
      </c>
      <c r="D19" s="15" t="s">
        <v>41</v>
      </c>
      <c r="E19" s="13">
        <v>2302042950</v>
      </c>
      <c r="F19" s="17">
        <v>20000</v>
      </c>
      <c r="G19" s="11">
        <f t="shared" si="0"/>
        <v>30</v>
      </c>
      <c r="H19" s="18"/>
      <c r="I19" s="11">
        <f t="shared" si="1"/>
        <v>733609.33996000106</v>
      </c>
      <c r="K19" s="19"/>
      <c r="L19" s="14"/>
    </row>
    <row r="20" spans="1:12" ht="112.5" customHeight="1" x14ac:dyDescent="0.25">
      <c r="A20" s="7">
        <v>46100</v>
      </c>
      <c r="B20" s="16" t="s">
        <v>42</v>
      </c>
      <c r="C20" s="16" t="s">
        <v>43</v>
      </c>
      <c r="D20" s="15" t="s">
        <v>44</v>
      </c>
      <c r="E20" s="13">
        <v>2302042950</v>
      </c>
      <c r="F20" s="17">
        <v>263798.5</v>
      </c>
      <c r="G20" s="11">
        <f t="shared" si="0"/>
        <v>395.69774999999998</v>
      </c>
      <c r="H20" s="18"/>
      <c r="I20" s="11">
        <f t="shared" si="1"/>
        <v>469415.14221000107</v>
      </c>
      <c r="K20" s="19"/>
      <c r="L20" s="14"/>
    </row>
    <row r="21" spans="1:12" ht="124.5" customHeight="1" x14ac:dyDescent="0.25">
      <c r="A21" s="7">
        <v>46100</v>
      </c>
      <c r="B21" s="16" t="s">
        <v>45</v>
      </c>
      <c r="C21" s="20" t="s">
        <v>46</v>
      </c>
      <c r="D21" s="15" t="s">
        <v>47</v>
      </c>
      <c r="E21" s="13">
        <v>2302042950</v>
      </c>
      <c r="F21" s="17"/>
      <c r="G21" s="11"/>
      <c r="H21" s="18">
        <v>400000</v>
      </c>
      <c r="I21" s="11">
        <f>+I20-F21-G21+H21</f>
        <v>869415.14221000113</v>
      </c>
      <c r="K21" s="19"/>
      <c r="L21" s="14"/>
    </row>
    <row r="22" spans="1:12" ht="94.5" customHeight="1" x14ac:dyDescent="0.25">
      <c r="A22" s="7">
        <v>46101</v>
      </c>
      <c r="B22" s="16" t="s">
        <v>19</v>
      </c>
      <c r="C22" s="16" t="s">
        <v>34</v>
      </c>
      <c r="D22" s="15" t="s">
        <v>48</v>
      </c>
      <c r="E22" s="13">
        <v>2302042950</v>
      </c>
      <c r="F22" s="17">
        <v>8325.01</v>
      </c>
      <c r="G22" s="11">
        <f t="shared" si="0"/>
        <v>12.487515</v>
      </c>
      <c r="H22" s="18"/>
      <c r="I22" s="11">
        <f t="shared" si="1"/>
        <v>861077.64469500107</v>
      </c>
      <c r="K22" s="19"/>
      <c r="L22" s="14"/>
    </row>
    <row r="23" spans="1:12" ht="114.75" customHeight="1" x14ac:dyDescent="0.25">
      <c r="A23" s="7">
        <v>46101</v>
      </c>
      <c r="B23" s="16" t="s">
        <v>19</v>
      </c>
      <c r="C23" s="16" t="s">
        <v>34</v>
      </c>
      <c r="D23" s="15" t="s">
        <v>49</v>
      </c>
      <c r="E23" s="13">
        <v>2302042950</v>
      </c>
      <c r="F23" s="17">
        <v>8653.14</v>
      </c>
      <c r="G23" s="11">
        <f t="shared" si="0"/>
        <v>12.979709999999999</v>
      </c>
      <c r="H23" s="18"/>
      <c r="I23" s="11">
        <f t="shared" si="1"/>
        <v>852411.52498500107</v>
      </c>
      <c r="K23" s="19"/>
      <c r="L23" s="14"/>
    </row>
    <row r="24" spans="1:12" ht="98.25" customHeight="1" x14ac:dyDescent="0.25">
      <c r="A24" s="7">
        <v>46101</v>
      </c>
      <c r="B24" s="16" t="s">
        <v>19</v>
      </c>
      <c r="C24" s="16" t="s">
        <v>34</v>
      </c>
      <c r="D24" s="15" t="s">
        <v>50</v>
      </c>
      <c r="E24" s="13">
        <v>2302042950</v>
      </c>
      <c r="F24" s="17">
        <v>3871.53</v>
      </c>
      <c r="G24" s="11">
        <f t="shared" si="0"/>
        <v>5.8072950000000008</v>
      </c>
      <c r="H24" s="18"/>
      <c r="I24" s="11">
        <f t="shared" si="1"/>
        <v>848534.1876900011</v>
      </c>
      <c r="K24" s="19"/>
      <c r="L24" s="14"/>
    </row>
    <row r="25" spans="1:12" ht="72" customHeight="1" x14ac:dyDescent="0.25">
      <c r="A25" s="7">
        <v>46101</v>
      </c>
      <c r="B25" s="16" t="s">
        <v>51</v>
      </c>
      <c r="C25" s="16" t="s">
        <v>52</v>
      </c>
      <c r="D25" s="15" t="s">
        <v>53</v>
      </c>
      <c r="E25" s="13">
        <v>2302042950</v>
      </c>
      <c r="F25" s="17">
        <v>22035</v>
      </c>
      <c r="G25" s="11">
        <f t="shared" si="0"/>
        <v>33.052500000000002</v>
      </c>
      <c r="H25" s="18"/>
      <c r="I25" s="11">
        <f t="shared" si="1"/>
        <v>826466.13519000111</v>
      </c>
      <c r="K25" s="19"/>
      <c r="L25" s="14"/>
    </row>
    <row r="26" spans="1:12" ht="72" customHeight="1" x14ac:dyDescent="0.25">
      <c r="A26" s="7">
        <v>45736</v>
      </c>
      <c r="B26" s="16" t="s">
        <v>54</v>
      </c>
      <c r="C26" s="16" t="s">
        <v>55</v>
      </c>
      <c r="D26" s="15" t="s">
        <v>56</v>
      </c>
      <c r="E26" s="13">
        <v>2302042950</v>
      </c>
      <c r="F26" s="17">
        <v>18200</v>
      </c>
      <c r="G26" s="11">
        <f t="shared" si="0"/>
        <v>27.3</v>
      </c>
      <c r="H26" s="18"/>
      <c r="I26" s="11">
        <f t="shared" si="1"/>
        <v>808238.83519000106</v>
      </c>
      <c r="K26" s="19"/>
      <c r="L26" s="14"/>
    </row>
    <row r="27" spans="1:12" ht="92.25" customHeight="1" x14ac:dyDescent="0.25">
      <c r="A27" s="7">
        <v>45736</v>
      </c>
      <c r="B27" s="16" t="s">
        <v>57</v>
      </c>
      <c r="C27" s="16" t="s">
        <v>58</v>
      </c>
      <c r="D27" s="15" t="s">
        <v>59</v>
      </c>
      <c r="E27" s="13">
        <v>2302042950</v>
      </c>
      <c r="F27" s="17">
        <v>27000</v>
      </c>
      <c r="G27" s="11">
        <f t="shared" si="0"/>
        <v>40.5</v>
      </c>
      <c r="H27" s="18"/>
      <c r="I27" s="11">
        <f t="shared" si="1"/>
        <v>781198.33519000106</v>
      </c>
      <c r="K27" s="19"/>
      <c r="L27" s="14"/>
    </row>
    <row r="28" spans="1:12" ht="72" customHeight="1" x14ac:dyDescent="0.25">
      <c r="A28" s="7">
        <v>46107</v>
      </c>
      <c r="B28" s="16" t="s">
        <v>60</v>
      </c>
      <c r="C28" s="16" t="s">
        <v>55</v>
      </c>
      <c r="D28" s="15" t="s">
        <v>61</v>
      </c>
      <c r="E28" s="13">
        <v>2302042950</v>
      </c>
      <c r="F28" s="17">
        <v>15000</v>
      </c>
      <c r="G28" s="11">
        <f t="shared" si="0"/>
        <v>22.5</v>
      </c>
      <c r="H28" s="18"/>
      <c r="I28" s="11">
        <f t="shared" si="1"/>
        <v>766175.83519000106</v>
      </c>
      <c r="K28" s="19"/>
      <c r="L28" s="14"/>
    </row>
    <row r="29" spans="1:12" ht="72" customHeight="1" x14ac:dyDescent="0.25">
      <c r="A29" s="7">
        <v>46107</v>
      </c>
      <c r="B29" s="16" t="s">
        <v>62</v>
      </c>
      <c r="C29" s="16" t="s">
        <v>58</v>
      </c>
      <c r="D29" s="15" t="s">
        <v>63</v>
      </c>
      <c r="E29" s="13">
        <v>2302042950</v>
      </c>
      <c r="F29" s="17">
        <v>25000</v>
      </c>
      <c r="G29" s="11">
        <f t="shared" si="0"/>
        <v>37.5</v>
      </c>
      <c r="H29" s="18"/>
      <c r="I29" s="11">
        <f t="shared" si="1"/>
        <v>741138.33519000106</v>
      </c>
      <c r="K29" s="19"/>
      <c r="L29" s="14"/>
    </row>
    <row r="30" spans="1:12" ht="72" customHeight="1" x14ac:dyDescent="0.25">
      <c r="A30" s="7">
        <v>46107</v>
      </c>
      <c r="B30" s="16" t="s">
        <v>64</v>
      </c>
      <c r="C30" s="16" t="s">
        <v>65</v>
      </c>
      <c r="D30" s="15" t="s">
        <v>66</v>
      </c>
      <c r="E30" s="13">
        <v>2302042950</v>
      </c>
      <c r="F30" s="17">
        <v>20000</v>
      </c>
      <c r="G30" s="11">
        <f t="shared" si="0"/>
        <v>30</v>
      </c>
      <c r="H30" s="18"/>
      <c r="I30" s="11">
        <f t="shared" si="1"/>
        <v>721108.33519000106</v>
      </c>
      <c r="K30" s="19"/>
      <c r="L30" s="14"/>
    </row>
    <row r="31" spans="1:12" ht="72" customHeight="1" x14ac:dyDescent="0.25">
      <c r="A31" s="7">
        <v>46107</v>
      </c>
      <c r="B31" s="16" t="s">
        <v>67</v>
      </c>
      <c r="C31" s="16" t="s">
        <v>68</v>
      </c>
      <c r="D31" s="15" t="s">
        <v>69</v>
      </c>
      <c r="E31" s="13">
        <v>2302042950</v>
      </c>
      <c r="F31" s="17">
        <v>15000</v>
      </c>
      <c r="G31" s="11">
        <f t="shared" si="0"/>
        <v>22.5</v>
      </c>
      <c r="H31" s="18"/>
      <c r="I31" s="11">
        <f t="shared" si="1"/>
        <v>706085.83519000106</v>
      </c>
      <c r="K31" s="19"/>
      <c r="L31" s="14"/>
    </row>
    <row r="32" spans="1:12" ht="72" customHeight="1" x14ac:dyDescent="0.25">
      <c r="A32" s="7">
        <v>46107</v>
      </c>
      <c r="B32" s="16" t="s">
        <v>70</v>
      </c>
      <c r="C32" s="20" t="s">
        <v>71</v>
      </c>
      <c r="D32" s="15" t="s">
        <v>72</v>
      </c>
      <c r="E32" s="13">
        <v>2302042950</v>
      </c>
      <c r="F32" s="17">
        <v>40000</v>
      </c>
      <c r="G32" s="11">
        <f t="shared" si="0"/>
        <v>60</v>
      </c>
      <c r="H32" s="18"/>
      <c r="I32" s="11">
        <f t="shared" si="1"/>
        <v>666025.83519000106</v>
      </c>
      <c r="K32" s="19"/>
      <c r="L32" s="14"/>
    </row>
    <row r="33" spans="1:12" ht="72" customHeight="1" x14ac:dyDescent="0.25">
      <c r="A33" s="7">
        <v>46107</v>
      </c>
      <c r="B33" s="16" t="s">
        <v>73</v>
      </c>
      <c r="C33" s="20" t="s">
        <v>74</v>
      </c>
      <c r="D33" s="15" t="s">
        <v>75</v>
      </c>
      <c r="E33" s="13">
        <v>2302042950</v>
      </c>
      <c r="F33" s="17">
        <v>10000</v>
      </c>
      <c r="G33" s="11">
        <f t="shared" si="0"/>
        <v>15</v>
      </c>
      <c r="H33" s="18"/>
      <c r="I33" s="11">
        <f t="shared" si="1"/>
        <v>656010.83519000106</v>
      </c>
      <c r="K33" s="19"/>
      <c r="L33" s="14"/>
    </row>
    <row r="34" spans="1:12" ht="72" customHeight="1" x14ac:dyDescent="0.25">
      <c r="A34" s="7">
        <v>46107</v>
      </c>
      <c r="B34" s="16" t="s">
        <v>76</v>
      </c>
      <c r="C34" s="20" t="s">
        <v>77</v>
      </c>
      <c r="D34" s="15" t="s">
        <v>78</v>
      </c>
      <c r="E34" s="13">
        <v>2302042950</v>
      </c>
      <c r="F34" s="17">
        <v>30000</v>
      </c>
      <c r="G34" s="11">
        <f t="shared" si="0"/>
        <v>45</v>
      </c>
      <c r="H34" s="18"/>
      <c r="I34" s="11">
        <f t="shared" si="1"/>
        <v>625965.83519000106</v>
      </c>
      <c r="K34" s="19"/>
      <c r="L34" s="14"/>
    </row>
    <row r="35" spans="1:12" ht="72" customHeight="1" x14ac:dyDescent="0.25">
      <c r="A35" s="7">
        <v>46107</v>
      </c>
      <c r="B35" s="16" t="s">
        <v>79</v>
      </c>
      <c r="C35" s="20" t="s">
        <v>80</v>
      </c>
      <c r="D35" s="15" t="s">
        <v>81</v>
      </c>
      <c r="E35" s="13">
        <v>2302042950</v>
      </c>
      <c r="F35" s="17">
        <v>50115.5</v>
      </c>
      <c r="G35" s="11">
        <f t="shared" si="0"/>
        <v>75.173249999999996</v>
      </c>
      <c r="H35" s="18"/>
      <c r="I35" s="11">
        <f t="shared" si="1"/>
        <v>575775.16194000107</v>
      </c>
      <c r="K35" s="19"/>
      <c r="L35" s="14"/>
    </row>
    <row r="36" spans="1:12" ht="41.25" customHeight="1" x14ac:dyDescent="0.25">
      <c r="A36" s="21">
        <v>46108</v>
      </c>
      <c r="B36" s="22" t="s">
        <v>82</v>
      </c>
      <c r="C36" s="20" t="s">
        <v>83</v>
      </c>
      <c r="D36" s="15" t="s">
        <v>84</v>
      </c>
      <c r="E36" s="13">
        <v>2302042950</v>
      </c>
      <c r="F36" s="23">
        <v>10000</v>
      </c>
      <c r="G36" s="11">
        <v>0</v>
      </c>
      <c r="H36" s="24"/>
      <c r="I36" s="11">
        <f>+I35-F36-G36+H36</f>
        <v>565775.16194000107</v>
      </c>
      <c r="J36" s="4"/>
    </row>
    <row r="37" spans="1:12" ht="41.25" customHeight="1" x14ac:dyDescent="0.25">
      <c r="A37" s="21"/>
      <c r="B37" s="22"/>
      <c r="C37" s="16"/>
      <c r="D37" s="15"/>
      <c r="E37" s="13"/>
      <c r="F37" s="17"/>
      <c r="G37" s="11">
        <f>22.5+15+100+175</f>
        <v>312.5</v>
      </c>
      <c r="H37" s="24"/>
      <c r="I37" s="11">
        <f>+I36-F37-G37+H37</f>
        <v>565462.66194000107</v>
      </c>
      <c r="J37" s="4"/>
    </row>
    <row r="38" spans="1:12" ht="41.25" customHeight="1" x14ac:dyDescent="0.25">
      <c r="A38" s="25"/>
      <c r="B38" s="26"/>
      <c r="C38" s="16"/>
      <c r="D38" s="27"/>
      <c r="E38" s="13"/>
      <c r="F38" s="28">
        <f>SUM(F11:F36)</f>
        <v>706076.4</v>
      </c>
      <c r="G38" s="28">
        <f>SUM(G11:G37)</f>
        <v>1356.6145999999999</v>
      </c>
      <c r="H38" s="28">
        <f>SUM(H11:H36)</f>
        <v>881764</v>
      </c>
      <c r="I38" s="28">
        <f>+I37</f>
        <v>565462.66194000107</v>
      </c>
      <c r="J38" s="4"/>
    </row>
    <row r="39" spans="1:12" x14ac:dyDescent="0.25">
      <c r="H39" s="29"/>
      <c r="I39" s="14"/>
    </row>
    <row r="40" spans="1:12" x14ac:dyDescent="0.25">
      <c r="H40" s="4"/>
      <c r="I40" s="29"/>
    </row>
    <row r="44" spans="1:12" x14ac:dyDescent="0.25">
      <c r="I44" s="30"/>
    </row>
    <row r="53" spans="4:5" x14ac:dyDescent="0.25">
      <c r="D53" s="5"/>
    </row>
    <row r="54" spans="4:5" x14ac:dyDescent="0.25">
      <c r="D54" s="5"/>
    </row>
    <row r="55" spans="4:5" x14ac:dyDescent="0.25">
      <c r="D55" s="5"/>
    </row>
    <row r="56" spans="4:5" x14ac:dyDescent="0.25">
      <c r="D56" s="5"/>
    </row>
    <row r="57" spans="4:5" x14ac:dyDescent="0.25">
      <c r="D57" s="5"/>
    </row>
    <row r="58" spans="4:5" x14ac:dyDescent="0.25">
      <c r="D58" s="5"/>
    </row>
    <row r="59" spans="4:5" x14ac:dyDescent="0.25">
      <c r="D59" s="5"/>
      <c r="E59" s="30"/>
    </row>
    <row r="60" spans="4:5" x14ac:dyDescent="0.25">
      <c r="D60" s="5"/>
    </row>
    <row r="61" spans="4:5" x14ac:dyDescent="0.25">
      <c r="D61" s="5"/>
    </row>
    <row r="62" spans="4:5" x14ac:dyDescent="0.25">
      <c r="D62" s="5"/>
    </row>
    <row r="63" spans="4:5" x14ac:dyDescent="0.25">
      <c r="D63" s="5"/>
    </row>
  </sheetData>
  <mergeCells count="6">
    <mergeCell ref="A8:I8"/>
    <mergeCell ref="A3:I3"/>
    <mergeCell ref="A4:I4"/>
    <mergeCell ref="A5:I5"/>
    <mergeCell ref="A6:I6"/>
    <mergeCell ref="A7:I7"/>
  </mergeCells>
  <pageMargins left="0.7" right="0.7" top="0.75" bottom="0.75" header="0.3" footer="0.3"/>
  <pageSetup scale="39"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9"/>
  <sheetViews>
    <sheetView view="pageBreakPreview" zoomScale="60" zoomScaleNormal="100" workbookViewId="0">
      <selection activeCell="J16" sqref="J16"/>
    </sheetView>
  </sheetViews>
  <sheetFormatPr baseColWidth="10" defaultRowHeight="15" x14ac:dyDescent="0.2"/>
  <cols>
    <col min="1" max="1" width="16.42578125" style="31" customWidth="1"/>
    <col min="2" max="2" width="28.28515625" style="31" customWidth="1"/>
    <col min="3" max="3" width="52.7109375" style="31" customWidth="1"/>
    <col min="4" max="4" width="12.7109375" style="31" customWidth="1"/>
    <col min="5" max="5" width="19.28515625" style="32" customWidth="1"/>
    <col min="6" max="16384" width="11.42578125" style="31"/>
  </cols>
  <sheetData>
    <row r="3" spans="1:5" ht="38.25" customHeight="1" x14ac:dyDescent="0.2">
      <c r="A3" s="152" t="s">
        <v>85</v>
      </c>
      <c r="B3" s="153"/>
      <c r="C3" s="153"/>
      <c r="D3" s="153"/>
      <c r="E3" s="154"/>
    </row>
    <row r="4" spans="1:5" ht="38.25" customHeight="1" x14ac:dyDescent="0.2">
      <c r="A4" s="33" t="s">
        <v>86</v>
      </c>
      <c r="B4" s="33" t="s">
        <v>7</v>
      </c>
      <c r="C4" s="33" t="s">
        <v>87</v>
      </c>
      <c r="D4" s="33" t="s">
        <v>88</v>
      </c>
      <c r="E4" s="34" t="s">
        <v>89</v>
      </c>
    </row>
    <row r="5" spans="1:5" ht="30" x14ac:dyDescent="0.2">
      <c r="A5" s="35">
        <v>44734</v>
      </c>
      <c r="B5" s="36" t="s">
        <v>90</v>
      </c>
      <c r="C5" s="36" t="s">
        <v>91</v>
      </c>
      <c r="D5" s="37">
        <v>25898</v>
      </c>
      <c r="E5" s="38">
        <v>12000</v>
      </c>
    </row>
    <row r="6" spans="1:5" ht="63" x14ac:dyDescent="0.2">
      <c r="A6" s="7">
        <v>46108</v>
      </c>
      <c r="B6" s="22" t="s">
        <v>82</v>
      </c>
      <c r="C6" s="20" t="s">
        <v>83</v>
      </c>
      <c r="D6" s="15" t="s">
        <v>92</v>
      </c>
      <c r="E6" s="38">
        <v>10000</v>
      </c>
    </row>
    <row r="7" spans="1:5" ht="63" x14ac:dyDescent="0.2">
      <c r="A7" s="7">
        <v>46076</v>
      </c>
      <c r="B7" s="16" t="s">
        <v>93</v>
      </c>
      <c r="C7" s="20" t="s">
        <v>94</v>
      </c>
      <c r="D7" s="15" t="s">
        <v>95</v>
      </c>
      <c r="E7" s="39">
        <v>10000</v>
      </c>
    </row>
    <row r="8" spans="1:5" ht="19.5" x14ac:dyDescent="0.5">
      <c r="E8" s="40">
        <f>SUM(E5:E7)</f>
        <v>32000</v>
      </c>
    </row>
    <row r="29" spans="5:5" x14ac:dyDescent="0.2">
      <c r="E29" s="31"/>
    </row>
  </sheetData>
  <mergeCells count="1">
    <mergeCell ref="A3:E3"/>
  </mergeCells>
  <pageMargins left="0.7" right="0.7" top="0.75" bottom="0.75" header="0.3" footer="0.3"/>
  <pageSetup scale="73"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55"/>
  <sheetViews>
    <sheetView view="pageBreakPreview" zoomScale="60" zoomScaleNormal="100" workbookViewId="0">
      <selection activeCell="F37" sqref="F37"/>
    </sheetView>
  </sheetViews>
  <sheetFormatPr baseColWidth="10" defaultColWidth="19" defaultRowHeight="14.25" x14ac:dyDescent="0.2"/>
  <cols>
    <col min="1" max="1" width="9.7109375" style="41" customWidth="1"/>
    <col min="2" max="2" width="22.42578125" style="41" customWidth="1"/>
    <col min="3" max="7" width="19" style="41"/>
    <col min="8" max="9" width="19" style="42"/>
    <col min="10" max="12" width="19" style="41"/>
    <col min="13" max="13" width="19" style="42"/>
    <col min="14" max="16384" width="19" style="41"/>
  </cols>
  <sheetData>
    <row r="4" spans="1:13" ht="18" x14ac:dyDescent="0.25">
      <c r="A4" s="155" t="s">
        <v>96</v>
      </c>
      <c r="B4" s="155"/>
      <c r="C4" s="155"/>
      <c r="D4" s="155"/>
      <c r="E4" s="155"/>
      <c r="F4" s="155"/>
      <c r="G4" s="155"/>
      <c r="H4" s="43"/>
      <c r="I4" s="41"/>
      <c r="M4" s="41"/>
    </row>
    <row r="5" spans="1:13" x14ac:dyDescent="0.2">
      <c r="A5" s="44"/>
      <c r="B5" s="44"/>
      <c r="C5" s="44"/>
      <c r="D5" s="44"/>
      <c r="E5" s="44"/>
      <c r="F5" s="45"/>
      <c r="G5" s="44"/>
      <c r="H5" s="46"/>
      <c r="I5" s="41"/>
      <c r="M5" s="41"/>
    </row>
    <row r="6" spans="1:13" x14ac:dyDescent="0.2">
      <c r="A6" s="44"/>
      <c r="B6" s="44" t="s">
        <v>97</v>
      </c>
      <c r="C6" s="44"/>
      <c r="D6" s="47" t="s">
        <v>98</v>
      </c>
      <c r="E6" s="47"/>
      <c r="F6" s="48"/>
      <c r="G6" s="44"/>
      <c r="H6" s="46"/>
      <c r="I6" s="41"/>
      <c r="M6" s="41"/>
    </row>
    <row r="7" spans="1:13" x14ac:dyDescent="0.2">
      <c r="A7" s="44"/>
      <c r="B7" s="44"/>
      <c r="C7" s="44"/>
      <c r="D7" s="44"/>
      <c r="E7" s="44"/>
      <c r="F7" s="45"/>
      <c r="G7" s="44"/>
      <c r="H7" s="46"/>
      <c r="I7" s="41"/>
      <c r="M7" s="41"/>
    </row>
    <row r="8" spans="1:13" x14ac:dyDescent="0.2">
      <c r="A8" s="44"/>
      <c r="B8" s="44" t="s">
        <v>99</v>
      </c>
      <c r="C8" s="44"/>
      <c r="D8" s="44"/>
      <c r="E8" s="44"/>
      <c r="F8" s="45"/>
      <c r="G8" s="44"/>
      <c r="H8" s="46"/>
      <c r="I8" s="41"/>
      <c r="M8" s="41"/>
    </row>
    <row r="9" spans="1:13" x14ac:dyDescent="0.2">
      <c r="A9" s="44"/>
      <c r="B9" s="44" t="s">
        <v>100</v>
      </c>
      <c r="C9" s="44"/>
      <c r="D9" s="44"/>
      <c r="E9" s="44"/>
      <c r="F9" s="45"/>
      <c r="G9" s="44"/>
      <c r="H9" s="46"/>
      <c r="I9" s="41"/>
      <c r="M9" s="41"/>
    </row>
    <row r="10" spans="1:13" x14ac:dyDescent="0.2">
      <c r="A10" s="44"/>
      <c r="B10" s="44"/>
      <c r="C10" s="44"/>
      <c r="D10" s="44"/>
      <c r="E10" s="44"/>
      <c r="F10" s="45"/>
      <c r="G10" s="44"/>
      <c r="H10" s="46"/>
      <c r="I10" s="41"/>
      <c r="M10" s="41"/>
    </row>
    <row r="11" spans="1:13" x14ac:dyDescent="0.2">
      <c r="A11" s="44"/>
      <c r="B11" s="49" t="s">
        <v>101</v>
      </c>
      <c r="C11" s="47" t="s">
        <v>102</v>
      </c>
      <c r="D11" s="50"/>
      <c r="E11" s="44"/>
      <c r="F11" s="45"/>
      <c r="G11" s="44"/>
      <c r="H11" s="46"/>
      <c r="I11" s="41"/>
      <c r="M11" s="41"/>
    </row>
    <row r="12" spans="1:13" ht="15" x14ac:dyDescent="0.2">
      <c r="A12" s="44"/>
      <c r="B12" s="44" t="s">
        <v>103</v>
      </c>
      <c r="C12" s="51">
        <v>2302042950</v>
      </c>
      <c r="D12" s="50"/>
      <c r="E12" s="44"/>
      <c r="F12" s="45"/>
      <c r="G12" s="44"/>
      <c r="H12" s="46"/>
      <c r="I12" s="41"/>
      <c r="M12" s="41"/>
    </row>
    <row r="13" spans="1:13" x14ac:dyDescent="0.2">
      <c r="A13" s="44"/>
      <c r="B13" s="44"/>
      <c r="C13" s="44"/>
      <c r="D13" s="44"/>
      <c r="E13" s="44"/>
      <c r="F13" s="45"/>
      <c r="G13" s="44"/>
      <c r="H13" s="46"/>
      <c r="I13" s="41"/>
      <c r="M13" s="41"/>
    </row>
    <row r="14" spans="1:13" x14ac:dyDescent="0.2">
      <c r="A14" s="44"/>
      <c r="B14" s="49" t="s">
        <v>101</v>
      </c>
      <c r="C14" s="44"/>
      <c r="D14" s="44"/>
      <c r="E14" s="44"/>
      <c r="F14" s="45"/>
      <c r="G14" s="44"/>
      <c r="H14" s="46"/>
      <c r="I14" s="41"/>
      <c r="M14" s="41"/>
    </row>
    <row r="15" spans="1:13" x14ac:dyDescent="0.2">
      <c r="A15" s="44"/>
      <c r="B15" s="44"/>
      <c r="C15" s="44"/>
      <c r="D15" s="44"/>
      <c r="E15" s="44"/>
      <c r="F15" s="45"/>
      <c r="G15" s="44"/>
      <c r="H15" s="46"/>
      <c r="I15" s="52"/>
      <c r="M15" s="41"/>
    </row>
    <row r="16" spans="1:13" x14ac:dyDescent="0.2">
      <c r="A16" s="44"/>
      <c r="B16" s="44" t="s">
        <v>104</v>
      </c>
      <c r="C16" s="44"/>
      <c r="D16" s="53">
        <v>46082</v>
      </c>
      <c r="E16" s="44"/>
      <c r="F16" s="45" t="s">
        <v>105</v>
      </c>
      <c r="G16" s="54">
        <v>614337.02</v>
      </c>
      <c r="H16" s="46"/>
      <c r="I16" s="41"/>
      <c r="M16" s="41"/>
    </row>
    <row r="17" spans="1:12" s="41" customFormat="1" x14ac:dyDescent="0.2">
      <c r="A17" s="44"/>
      <c r="B17" s="44"/>
      <c r="C17" s="44"/>
      <c r="D17" s="44"/>
      <c r="E17" s="44"/>
      <c r="F17" s="45"/>
      <c r="G17" s="44"/>
      <c r="H17" s="46"/>
      <c r="I17" s="42"/>
    </row>
    <row r="18" spans="1:12" s="41" customFormat="1" x14ac:dyDescent="0.2">
      <c r="A18" s="44"/>
      <c r="B18" s="44" t="s">
        <v>106</v>
      </c>
      <c r="C18" s="44"/>
      <c r="D18" s="44"/>
      <c r="E18" s="44"/>
      <c r="F18" s="45"/>
      <c r="G18" s="44"/>
      <c r="H18" s="46"/>
      <c r="I18" s="42"/>
    </row>
    <row r="19" spans="1:12" s="41" customFormat="1" x14ac:dyDescent="0.2">
      <c r="A19" s="44"/>
      <c r="B19" s="44" t="s">
        <v>107</v>
      </c>
      <c r="C19" s="44"/>
      <c r="D19" s="44"/>
      <c r="E19" s="55"/>
      <c r="F19" s="45"/>
      <c r="G19" s="44"/>
      <c r="H19" s="46"/>
      <c r="I19" s="42"/>
    </row>
    <row r="20" spans="1:12" s="41" customFormat="1" x14ac:dyDescent="0.2">
      <c r="A20" s="44"/>
      <c r="B20" s="44" t="s">
        <v>108</v>
      </c>
      <c r="C20" s="44"/>
      <c r="D20" s="44"/>
      <c r="E20" s="56">
        <v>0</v>
      </c>
      <c r="F20" s="45" t="s">
        <v>105</v>
      </c>
      <c r="G20" s="57">
        <f>+G16+E19+E20</f>
        <v>614337.02</v>
      </c>
      <c r="H20" s="46"/>
      <c r="I20" s="42"/>
    </row>
    <row r="21" spans="1:12" s="41" customFormat="1" x14ac:dyDescent="0.2">
      <c r="A21" s="44"/>
      <c r="B21" s="44"/>
      <c r="C21" s="44"/>
      <c r="D21" s="44"/>
      <c r="E21" s="44"/>
      <c r="F21" s="45"/>
      <c r="G21" s="44"/>
      <c r="H21" s="46"/>
      <c r="I21" s="42"/>
    </row>
    <row r="22" spans="1:12" s="41" customFormat="1" x14ac:dyDescent="0.2">
      <c r="A22" s="44"/>
      <c r="B22" s="44" t="s">
        <v>109</v>
      </c>
      <c r="C22" s="44"/>
      <c r="D22" s="44"/>
      <c r="E22" s="50"/>
      <c r="F22" s="45"/>
      <c r="G22" s="44"/>
      <c r="H22" s="46"/>
      <c r="I22" s="42"/>
    </row>
    <row r="23" spans="1:12" s="41" customFormat="1" x14ac:dyDescent="0.2">
      <c r="A23" s="44"/>
      <c r="B23" s="44" t="s">
        <v>110</v>
      </c>
      <c r="C23" s="44"/>
      <c r="D23" s="44"/>
      <c r="E23" s="54">
        <v>32000</v>
      </c>
      <c r="F23" s="45"/>
      <c r="G23" s="44"/>
      <c r="H23" s="46"/>
      <c r="I23" s="42"/>
    </row>
    <row r="24" spans="1:12" s="41" customFormat="1" x14ac:dyDescent="0.2">
      <c r="A24" s="44"/>
      <c r="B24" s="44" t="s">
        <v>111</v>
      </c>
      <c r="C24" s="44"/>
      <c r="D24" s="44"/>
      <c r="E24" s="56"/>
      <c r="F24" s="45"/>
      <c r="G24" s="44"/>
      <c r="H24" s="46"/>
      <c r="I24" s="42"/>
    </row>
    <row r="25" spans="1:12" s="41" customFormat="1" x14ac:dyDescent="0.2">
      <c r="A25" s="44"/>
      <c r="B25" s="44"/>
      <c r="C25" s="44"/>
      <c r="D25" s="44"/>
      <c r="E25" s="44"/>
      <c r="F25" s="45"/>
      <c r="G25" s="58" t="s">
        <v>112</v>
      </c>
      <c r="H25" s="46"/>
      <c r="I25" s="42"/>
    </row>
    <row r="26" spans="1:12" s="41" customFormat="1" ht="16.5" x14ac:dyDescent="0.35">
      <c r="A26" s="44"/>
      <c r="B26" s="44" t="s">
        <v>113</v>
      </c>
      <c r="C26" s="44"/>
      <c r="D26" s="53">
        <v>46112</v>
      </c>
      <c r="E26" s="44"/>
      <c r="F26" s="45" t="s">
        <v>105</v>
      </c>
      <c r="G26" s="59">
        <f>+G20-E23</f>
        <v>582337.02</v>
      </c>
      <c r="H26" s="46"/>
      <c r="I26" s="42"/>
    </row>
    <row r="27" spans="1:12" s="41" customFormat="1" x14ac:dyDescent="0.2">
      <c r="A27" s="44"/>
      <c r="B27" s="44"/>
      <c r="C27" s="44"/>
      <c r="D27" s="44"/>
      <c r="E27" s="44"/>
      <c r="F27" s="45"/>
      <c r="G27" s="44"/>
      <c r="H27" s="46"/>
      <c r="I27" s="42"/>
    </row>
    <row r="28" spans="1:12" s="41" customFormat="1" x14ac:dyDescent="0.2">
      <c r="A28" s="44"/>
      <c r="E28" s="44"/>
      <c r="F28" s="45"/>
      <c r="G28" s="44"/>
      <c r="H28" s="46"/>
      <c r="I28" s="42"/>
    </row>
    <row r="29" spans="1:12" s="41" customFormat="1" x14ac:dyDescent="0.2">
      <c r="A29" s="44"/>
      <c r="B29" s="44"/>
      <c r="C29" s="44"/>
      <c r="D29" s="44"/>
      <c r="E29" s="44"/>
      <c r="F29" s="45"/>
      <c r="G29" s="44"/>
      <c r="H29" s="46"/>
      <c r="I29" s="42"/>
    </row>
    <row r="30" spans="1:12" s="41" customFormat="1" x14ac:dyDescent="0.2">
      <c r="A30" s="44"/>
      <c r="B30" s="49" t="s">
        <v>114</v>
      </c>
      <c r="C30" s="44"/>
      <c r="D30" s="44"/>
      <c r="E30" s="44"/>
      <c r="F30" s="45"/>
      <c r="G30" s="44"/>
      <c r="H30" s="46"/>
      <c r="I30" s="42"/>
      <c r="L30" s="42"/>
    </row>
    <row r="31" spans="1:12" s="41" customFormat="1" x14ac:dyDescent="0.2">
      <c r="H31" s="46"/>
      <c r="I31" s="42"/>
      <c r="J31" s="52"/>
      <c r="L31" s="42"/>
    </row>
    <row r="32" spans="1:12" s="41" customFormat="1" x14ac:dyDescent="0.2">
      <c r="B32" s="44" t="s">
        <v>115</v>
      </c>
      <c r="D32" s="53">
        <v>46082</v>
      </c>
      <c r="F32" s="45" t="s">
        <v>105</v>
      </c>
      <c r="G32" s="57">
        <f>+'[2]FEBRERO 2026'!G44</f>
        <v>391131.63999999739</v>
      </c>
      <c r="H32" s="42"/>
      <c r="I32" s="42"/>
      <c r="L32" s="42"/>
    </row>
    <row r="33" spans="2:12" s="41" customFormat="1" x14ac:dyDescent="0.2">
      <c r="H33" s="42"/>
      <c r="I33" s="42"/>
      <c r="J33" s="60"/>
      <c r="K33" s="42"/>
      <c r="L33" s="42"/>
    </row>
    <row r="34" spans="2:12" s="41" customFormat="1" x14ac:dyDescent="0.2">
      <c r="B34" s="44" t="s">
        <v>106</v>
      </c>
      <c r="C34" s="44"/>
      <c r="H34" s="42"/>
      <c r="I34" s="42"/>
      <c r="K34" s="42"/>
      <c r="L34" s="42"/>
    </row>
    <row r="35" spans="2:12" s="41" customFormat="1" x14ac:dyDescent="0.2">
      <c r="B35" s="44" t="s">
        <v>116</v>
      </c>
      <c r="C35" s="44"/>
      <c r="E35" s="61">
        <v>423174.05</v>
      </c>
      <c r="H35" s="42"/>
      <c r="I35" s="42"/>
      <c r="J35" s="60"/>
      <c r="K35" s="42"/>
      <c r="L35" s="42"/>
    </row>
    <row r="36" spans="2:12" s="41" customFormat="1" x14ac:dyDescent="0.2">
      <c r="B36" s="44" t="s">
        <v>117</v>
      </c>
      <c r="C36" s="44"/>
      <c r="E36" s="62"/>
      <c r="H36" s="42"/>
      <c r="I36" s="42"/>
      <c r="J36" s="52"/>
      <c r="K36" s="42"/>
      <c r="L36" s="42"/>
    </row>
    <row r="37" spans="2:12" s="41" customFormat="1" ht="16.5" x14ac:dyDescent="0.35">
      <c r="B37" s="44" t="s">
        <v>118</v>
      </c>
      <c r="C37" s="44"/>
      <c r="E37" s="62">
        <v>475464</v>
      </c>
      <c r="G37" s="63">
        <f>+G32+E35+E36+E37</f>
        <v>1289769.6899999974</v>
      </c>
      <c r="H37" s="42"/>
      <c r="I37" s="42"/>
      <c r="J37" s="60"/>
      <c r="K37" s="42"/>
      <c r="L37" s="42"/>
    </row>
    <row r="38" spans="2:12" s="41" customFormat="1" x14ac:dyDescent="0.2">
      <c r="B38" s="44"/>
      <c r="C38" s="44"/>
      <c r="H38" s="42"/>
      <c r="I38" s="42"/>
      <c r="J38" s="60"/>
      <c r="K38" s="42"/>
      <c r="L38" s="42"/>
    </row>
    <row r="39" spans="2:12" s="41" customFormat="1" x14ac:dyDescent="0.2">
      <c r="B39" s="44" t="s">
        <v>109</v>
      </c>
      <c r="C39" s="44"/>
      <c r="H39" s="42"/>
      <c r="I39" s="42"/>
      <c r="J39" s="52"/>
      <c r="K39" s="42"/>
      <c r="L39" s="42"/>
    </row>
    <row r="40" spans="2:12" s="41" customFormat="1" x14ac:dyDescent="0.2">
      <c r="B40" s="44" t="s">
        <v>119</v>
      </c>
      <c r="C40" s="44"/>
      <c r="E40" s="57">
        <v>706076.4</v>
      </c>
      <c r="H40" s="42"/>
      <c r="I40" s="42"/>
      <c r="J40" s="60"/>
      <c r="K40" s="42"/>
      <c r="L40" s="42"/>
    </row>
    <row r="41" spans="2:12" s="41" customFormat="1" x14ac:dyDescent="0.2">
      <c r="B41" s="44" t="s">
        <v>120</v>
      </c>
      <c r="C41" s="44"/>
      <c r="E41" s="55">
        <v>0</v>
      </c>
      <c r="H41" s="42"/>
      <c r="I41" s="42"/>
      <c r="J41" s="52"/>
      <c r="K41" s="42"/>
      <c r="L41" s="42"/>
    </row>
    <row r="42" spans="2:12" s="41" customFormat="1" x14ac:dyDescent="0.2">
      <c r="B42" s="44" t="s">
        <v>121</v>
      </c>
      <c r="E42" s="54">
        <v>1356.61</v>
      </c>
      <c r="H42" s="42"/>
      <c r="I42" s="42"/>
      <c r="J42" s="60"/>
      <c r="K42" s="42"/>
      <c r="L42" s="42"/>
    </row>
    <row r="43" spans="2:12" s="41" customFormat="1" x14ac:dyDescent="0.2">
      <c r="E43" s="41" t="s">
        <v>122</v>
      </c>
      <c r="F43" s="41" t="s">
        <v>122</v>
      </c>
      <c r="G43" s="41" t="s">
        <v>122</v>
      </c>
      <c r="H43" s="42"/>
      <c r="I43" s="42"/>
      <c r="J43" s="52"/>
      <c r="K43" s="42"/>
      <c r="L43" s="42"/>
    </row>
    <row r="44" spans="2:12" s="41" customFormat="1" x14ac:dyDescent="0.2">
      <c r="B44" s="44" t="s">
        <v>113</v>
      </c>
      <c r="C44" s="44"/>
      <c r="D44" s="53">
        <v>46112</v>
      </c>
      <c r="H44" s="42"/>
      <c r="I44" s="42"/>
      <c r="L44" s="42"/>
    </row>
    <row r="45" spans="2:12" s="41" customFormat="1" ht="16.5" x14ac:dyDescent="0.35">
      <c r="F45" s="64" t="s">
        <v>105</v>
      </c>
      <c r="G45" s="65">
        <f>+G37-E40-E42</f>
        <v>582336.67999999737</v>
      </c>
      <c r="H45" s="42"/>
      <c r="I45" s="42"/>
      <c r="J45" s="52"/>
      <c r="L45" s="42"/>
    </row>
    <row r="46" spans="2:12" s="41" customFormat="1" x14ac:dyDescent="0.2">
      <c r="B46" s="44" t="s">
        <v>123</v>
      </c>
      <c r="C46" s="66"/>
      <c r="D46" s="66"/>
      <c r="E46" s="66"/>
      <c r="F46" s="67"/>
      <c r="G46" s="66"/>
      <c r="H46" s="42"/>
      <c r="I46" s="42"/>
      <c r="J46" s="52"/>
      <c r="L46" s="60"/>
    </row>
    <row r="47" spans="2:12" s="41" customFormat="1" x14ac:dyDescent="0.2">
      <c r="B47" s="66"/>
      <c r="C47" s="66"/>
      <c r="D47" s="66"/>
      <c r="E47" s="66"/>
      <c r="F47" s="67"/>
      <c r="G47" s="66"/>
      <c r="H47" s="42"/>
      <c r="I47" s="42"/>
      <c r="L47" s="60"/>
    </row>
    <row r="48" spans="2:12" s="41" customFormat="1" x14ac:dyDescent="0.2">
      <c r="B48" s="68"/>
      <c r="C48" s="68"/>
      <c r="D48" s="68"/>
      <c r="E48" s="68"/>
      <c r="F48" s="69"/>
      <c r="G48" s="68"/>
      <c r="H48" s="42"/>
      <c r="I48" s="42"/>
    </row>
    <row r="49" spans="2:13" x14ac:dyDescent="0.2">
      <c r="B49" s="44"/>
      <c r="C49" s="44"/>
      <c r="D49" s="44"/>
      <c r="E49" s="44"/>
      <c r="F49" s="45"/>
      <c r="G49" s="44"/>
      <c r="L49" s="52"/>
      <c r="M49" s="41"/>
    </row>
    <row r="50" spans="2:13" x14ac:dyDescent="0.2">
      <c r="B50" s="44" t="s">
        <v>124</v>
      </c>
      <c r="C50" s="47"/>
      <c r="D50" s="47"/>
      <c r="E50" s="44" t="s">
        <v>125</v>
      </c>
      <c r="F50" s="48"/>
      <c r="G50" s="47"/>
      <c r="M50" s="41"/>
    </row>
    <row r="51" spans="2:13" x14ac:dyDescent="0.2">
      <c r="B51" s="44"/>
      <c r="C51" s="44"/>
      <c r="D51" s="44"/>
      <c r="E51" s="44"/>
      <c r="F51" s="45"/>
      <c r="G51" s="44"/>
      <c r="M51" s="41"/>
    </row>
    <row r="55" spans="2:13" x14ac:dyDescent="0.2">
      <c r="G55" s="52"/>
    </row>
  </sheetData>
  <mergeCells count="1">
    <mergeCell ref="A4:G4"/>
  </mergeCells>
  <pageMargins left="0.7" right="0.7" top="0.75" bottom="0.75" header="0.3" footer="0.3"/>
  <pageSetup scale="74"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0"/>
  <sheetViews>
    <sheetView view="pageBreakPreview" zoomScale="60" zoomScaleNormal="100" workbookViewId="0">
      <selection activeCell="C38" sqref="C38:D38"/>
    </sheetView>
  </sheetViews>
  <sheetFormatPr baseColWidth="10" defaultColWidth="11.42578125" defaultRowHeight="15" x14ac:dyDescent="0.2"/>
  <cols>
    <col min="1" max="1" width="5.42578125" style="70" customWidth="1"/>
    <col min="2" max="2" width="17.42578125" style="70" customWidth="1"/>
    <col min="3" max="3" width="20.42578125" style="70" customWidth="1"/>
    <col min="4" max="4" width="48" style="70" customWidth="1"/>
    <col min="5" max="8" width="15.140625" style="70" hidden="1" customWidth="1"/>
    <col min="9" max="9" width="24.85546875" style="70" hidden="1" customWidth="1"/>
    <col min="10" max="10" width="29.42578125" style="70" hidden="1" customWidth="1"/>
    <col min="11" max="11" width="28" style="70" hidden="1" customWidth="1"/>
    <col min="12" max="12" width="23.42578125" style="70" hidden="1" customWidth="1"/>
    <col min="13" max="13" width="28.7109375" style="70" hidden="1" customWidth="1"/>
    <col min="14" max="14" width="23.42578125" style="70" hidden="1" customWidth="1"/>
    <col min="15" max="15" width="23.85546875" style="70" hidden="1" customWidth="1"/>
    <col min="16" max="16" width="24.7109375" style="70" hidden="1" customWidth="1"/>
    <col min="17" max="17" width="25.42578125" style="70" hidden="1" customWidth="1"/>
    <col min="18" max="18" width="25.140625" style="70" hidden="1" customWidth="1"/>
    <col min="19" max="19" width="28.85546875" style="70" hidden="1" customWidth="1"/>
    <col min="20" max="20" width="26.5703125" style="70" hidden="1" customWidth="1"/>
    <col min="21" max="21" width="27.42578125" style="70" customWidth="1"/>
    <col min="22" max="22" width="11.42578125" style="70"/>
    <col min="23" max="23" width="20.85546875" style="70" bestFit="1" customWidth="1"/>
    <col min="24" max="24" width="15.85546875" style="71" customWidth="1"/>
    <col min="25" max="16384" width="11.42578125" style="70"/>
  </cols>
  <sheetData>
    <row r="2" spans="2:21" x14ac:dyDescent="0.2">
      <c r="B2" s="179" t="s">
        <v>126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</row>
    <row r="3" spans="2:21" x14ac:dyDescent="0.2">
      <c r="B3" s="179" t="s">
        <v>127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</row>
    <row r="4" spans="2:21" x14ac:dyDescent="0.2">
      <c r="B4" s="179" t="s">
        <v>128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</row>
    <row r="5" spans="2:21" x14ac:dyDescent="0.2">
      <c r="B5" s="72" t="s">
        <v>129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3"/>
      <c r="O5" s="73"/>
      <c r="P5" s="73"/>
      <c r="Q5" s="73"/>
      <c r="R5" s="73"/>
      <c r="S5" s="73"/>
      <c r="T5" s="73"/>
      <c r="U5" s="72"/>
    </row>
    <row r="6" spans="2:21" x14ac:dyDescent="0.2">
      <c r="B6" s="72"/>
      <c r="C6" s="73"/>
      <c r="D6" s="74"/>
      <c r="E6" s="74"/>
      <c r="F6" s="74"/>
      <c r="G6" s="74"/>
      <c r="H6" s="74"/>
      <c r="I6" s="74"/>
      <c r="J6" s="74"/>
      <c r="K6" s="74"/>
      <c r="L6" s="74"/>
      <c r="M6" s="74"/>
      <c r="N6" s="73"/>
      <c r="O6" s="73"/>
      <c r="P6" s="73"/>
      <c r="Q6" s="73"/>
      <c r="R6" s="73"/>
      <c r="S6" s="73"/>
      <c r="T6" s="73"/>
      <c r="U6" s="72"/>
    </row>
    <row r="7" spans="2:21" x14ac:dyDescent="0.2">
      <c r="B7" s="75"/>
      <c r="C7" s="76"/>
      <c r="D7" s="77"/>
      <c r="E7" s="78">
        <v>44805</v>
      </c>
      <c r="F7" s="78">
        <v>44835</v>
      </c>
      <c r="G7" s="78">
        <v>44866</v>
      </c>
      <c r="H7" s="78">
        <v>44896</v>
      </c>
      <c r="I7" s="78">
        <v>44927</v>
      </c>
      <c r="J7" s="78">
        <v>44958</v>
      </c>
      <c r="K7" s="78">
        <v>44986</v>
      </c>
      <c r="L7" s="78">
        <v>45017</v>
      </c>
      <c r="M7" s="78">
        <v>45047</v>
      </c>
      <c r="N7" s="78">
        <v>45078</v>
      </c>
      <c r="O7" s="78">
        <v>45108</v>
      </c>
      <c r="P7" s="78">
        <v>45139</v>
      </c>
      <c r="Q7" s="78">
        <v>45170</v>
      </c>
      <c r="R7" s="78">
        <v>45200</v>
      </c>
      <c r="S7" s="78">
        <v>45231</v>
      </c>
      <c r="T7" s="78">
        <v>45261</v>
      </c>
      <c r="U7" s="78">
        <v>46082</v>
      </c>
    </row>
    <row r="8" spans="2:21" x14ac:dyDescent="0.2">
      <c r="B8" s="79"/>
      <c r="C8" s="180"/>
      <c r="D8" s="181"/>
      <c r="E8" s="80">
        <v>3000000</v>
      </c>
      <c r="F8" s="80">
        <v>3000000</v>
      </c>
      <c r="G8" s="80">
        <v>3000000</v>
      </c>
      <c r="H8" s="80">
        <v>3000000</v>
      </c>
      <c r="I8" s="80">
        <v>3000000</v>
      </c>
      <c r="J8" s="80">
        <v>3000000</v>
      </c>
      <c r="K8" s="80">
        <v>3000000</v>
      </c>
      <c r="L8" s="80">
        <v>3000000</v>
      </c>
      <c r="M8" s="80">
        <v>3000000</v>
      </c>
      <c r="N8" s="80">
        <v>3000000</v>
      </c>
      <c r="O8" s="80">
        <v>3000000</v>
      </c>
      <c r="P8" s="80">
        <v>3000000</v>
      </c>
      <c r="Q8" s="80">
        <v>3000000</v>
      </c>
      <c r="R8" s="80">
        <v>3000000</v>
      </c>
      <c r="S8" s="80">
        <v>3000000</v>
      </c>
      <c r="T8" s="80">
        <v>3000000</v>
      </c>
      <c r="U8" s="80">
        <v>0</v>
      </c>
    </row>
    <row r="9" spans="2:21" x14ac:dyDescent="0.2">
      <c r="B9" s="81"/>
      <c r="C9" s="174" t="s">
        <v>130</v>
      </c>
      <c r="D9" s="174"/>
      <c r="E9" s="82">
        <v>159087.5</v>
      </c>
      <c r="F9" s="82">
        <v>159087.5</v>
      </c>
      <c r="G9" s="82">
        <v>159087.5</v>
      </c>
      <c r="H9" s="82">
        <v>159087.5</v>
      </c>
      <c r="I9" s="82">
        <v>159087.5</v>
      </c>
      <c r="J9" s="82">
        <v>159087.5</v>
      </c>
      <c r="K9" s="82">
        <v>159087.5</v>
      </c>
      <c r="L9" s="82">
        <v>159087.5</v>
      </c>
      <c r="M9" s="82">
        <v>159087.5</v>
      </c>
      <c r="N9" s="82">
        <v>159087.5</v>
      </c>
      <c r="O9" s="82">
        <v>159087.5</v>
      </c>
      <c r="P9" s="82">
        <v>159087.5</v>
      </c>
      <c r="Q9" s="82">
        <v>159087.5</v>
      </c>
      <c r="R9" s="82">
        <v>159087.5</v>
      </c>
      <c r="S9" s="82">
        <v>159087.5</v>
      </c>
      <c r="T9" s="82">
        <v>159087.5</v>
      </c>
      <c r="U9" s="83">
        <v>400000</v>
      </c>
    </row>
    <row r="10" spans="2:21" x14ac:dyDescent="0.2">
      <c r="B10" s="84"/>
      <c r="C10" s="174" t="s">
        <v>131</v>
      </c>
      <c r="D10" s="174"/>
      <c r="E10" s="85"/>
      <c r="F10" s="85"/>
      <c r="G10" s="85"/>
      <c r="H10" s="85">
        <v>10000000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>
        <v>4000000</v>
      </c>
      <c r="T10" s="85"/>
      <c r="U10" s="86">
        <v>23174</v>
      </c>
    </row>
    <row r="11" spans="2:21" x14ac:dyDescent="0.2">
      <c r="B11" s="79"/>
      <c r="C11" s="174" t="s">
        <v>131</v>
      </c>
      <c r="D11" s="174"/>
      <c r="E11" s="82"/>
      <c r="F11" s="82"/>
      <c r="G11" s="82"/>
      <c r="H11" s="82"/>
      <c r="I11" s="82"/>
      <c r="J11" s="82"/>
      <c r="K11" s="82"/>
      <c r="L11" s="82"/>
      <c r="M11" s="82"/>
      <c r="N11" s="82">
        <v>3276</v>
      </c>
      <c r="O11" s="82"/>
      <c r="P11" s="82"/>
      <c r="Q11" s="82"/>
      <c r="R11" s="82"/>
      <c r="S11" s="82"/>
      <c r="T11" s="82"/>
      <c r="U11" s="83">
        <v>475464</v>
      </c>
    </row>
    <row r="12" spans="2:21" ht="15.75" thickBot="1" x14ac:dyDescent="0.25">
      <c r="B12" s="87"/>
      <c r="C12" s="88"/>
      <c r="D12" s="89"/>
      <c r="E12" s="90"/>
      <c r="F12" s="90"/>
      <c r="G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91"/>
      <c r="U12" s="92"/>
    </row>
    <row r="13" spans="2:21" ht="15.75" thickBot="1" x14ac:dyDescent="0.25">
      <c r="B13" s="93"/>
      <c r="C13" s="94" t="s">
        <v>132</v>
      </c>
      <c r="D13" s="95"/>
      <c r="E13" s="96">
        <f>SUM(E8:E10)</f>
        <v>3159087.5</v>
      </c>
      <c r="F13" s="96">
        <f t="shared" ref="F13:M13" si="0">SUM(F8:F10)</f>
        <v>3159087.5</v>
      </c>
      <c r="G13" s="96">
        <f t="shared" si="0"/>
        <v>3159087.5</v>
      </c>
      <c r="H13" s="96">
        <f t="shared" si="0"/>
        <v>13159087.5</v>
      </c>
      <c r="I13" s="96">
        <f>SUM(I8:I10)</f>
        <v>3159087.5</v>
      </c>
      <c r="J13" s="96">
        <f t="shared" si="0"/>
        <v>3159087.5</v>
      </c>
      <c r="K13" s="96">
        <f t="shared" si="0"/>
        <v>3159087.5</v>
      </c>
      <c r="L13" s="96">
        <f t="shared" si="0"/>
        <v>3159087.5</v>
      </c>
      <c r="M13" s="96">
        <f t="shared" si="0"/>
        <v>3159087.5</v>
      </c>
      <c r="N13" s="96">
        <f>SUM(N8:N11)</f>
        <v>3162363.5</v>
      </c>
      <c r="O13" s="96">
        <f t="shared" ref="O13:U13" si="1">SUM(O8:O11)</f>
        <v>3159087.5</v>
      </c>
      <c r="P13" s="96">
        <f t="shared" si="1"/>
        <v>3159087.5</v>
      </c>
      <c r="Q13" s="96">
        <f t="shared" si="1"/>
        <v>3159087.5</v>
      </c>
      <c r="R13" s="96">
        <f t="shared" si="1"/>
        <v>3159087.5</v>
      </c>
      <c r="S13" s="96">
        <f t="shared" si="1"/>
        <v>7159087.5</v>
      </c>
      <c r="T13" s="96">
        <f t="shared" si="1"/>
        <v>3159087.5</v>
      </c>
      <c r="U13" s="97">
        <f t="shared" si="1"/>
        <v>898638</v>
      </c>
    </row>
    <row r="14" spans="2:21" x14ac:dyDescent="0.2">
      <c r="B14" s="72" t="s">
        <v>133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98"/>
    </row>
    <row r="15" spans="2:21" ht="15.75" thickBot="1" x14ac:dyDescent="0.25">
      <c r="B15" s="99" t="s">
        <v>103</v>
      </c>
      <c r="C15" s="175" t="s">
        <v>134</v>
      </c>
      <c r="D15" s="176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</row>
    <row r="16" spans="2:21" ht="15.75" thickBot="1" x14ac:dyDescent="0.25">
      <c r="B16" s="101"/>
      <c r="C16" s="177"/>
      <c r="D16" s="178"/>
      <c r="E16" s="102">
        <f>SUM(E17:E19)</f>
        <v>2057500</v>
      </c>
      <c r="F16" s="102">
        <f t="shared" ref="F16:H16" si="2">SUM(F17:F19)</f>
        <v>2053000</v>
      </c>
      <c r="G16" s="102">
        <f t="shared" si="2"/>
        <v>2058000</v>
      </c>
      <c r="H16" s="102">
        <f t="shared" si="2"/>
        <v>4038239.18</v>
      </c>
      <c r="I16" s="102">
        <f>SUM(I17:I21)</f>
        <v>2013400</v>
      </c>
      <c r="J16" s="102">
        <f t="shared" ref="J16:U16" si="3">SUM(J17:J21)</f>
        <v>1992300</v>
      </c>
      <c r="K16" s="102">
        <f t="shared" si="3"/>
        <v>1990000</v>
      </c>
      <c r="L16" s="102">
        <f t="shared" si="3"/>
        <v>2028000</v>
      </c>
      <c r="M16" s="102">
        <f t="shared" si="3"/>
        <v>2101000</v>
      </c>
      <c r="N16" s="102">
        <f t="shared" si="3"/>
        <v>2078528.56</v>
      </c>
      <c r="O16" s="102">
        <f t="shared" si="3"/>
        <v>2071200</v>
      </c>
      <c r="P16" s="102">
        <f t="shared" si="3"/>
        <v>2062800</v>
      </c>
      <c r="Q16" s="102">
        <f t="shared" si="3"/>
        <v>2145400.1</v>
      </c>
      <c r="R16" s="102">
        <f t="shared" si="3"/>
        <v>2089000</v>
      </c>
      <c r="S16" s="102">
        <f t="shared" si="3"/>
        <v>2032000</v>
      </c>
      <c r="T16" s="102">
        <f t="shared" si="3"/>
        <v>3773621.94</v>
      </c>
      <c r="U16" s="102">
        <f t="shared" si="3"/>
        <v>0</v>
      </c>
    </row>
    <row r="17" spans="2:23" hidden="1" x14ac:dyDescent="0.2">
      <c r="B17" s="103"/>
      <c r="C17" s="170"/>
      <c r="D17" s="171"/>
      <c r="E17" s="104">
        <f>1950000+10000+7500+8000+20000+10000+15000+25000+12000</f>
        <v>2057500</v>
      </c>
      <c r="F17" s="104">
        <f>1971000+10000+20000+15000+12000+25000</f>
        <v>2053000</v>
      </c>
      <c r="G17" s="104">
        <f>1996000+15000+12000+25000+10000</f>
        <v>2058000</v>
      </c>
      <c r="H17" s="104">
        <f>25000+15000+12000+23395.5+3750+6666.67+15000+13842.5+19152.54+16666.64+12000+15000+1840250+1961586.33+10000</f>
        <v>3989310.18</v>
      </c>
      <c r="I17" s="104">
        <v>2007000</v>
      </c>
      <c r="J17" s="104">
        <v>1985500</v>
      </c>
      <c r="K17" s="104">
        <f>1918000+10000+10000+15000+12000+25000</f>
        <v>1990000</v>
      </c>
      <c r="L17" s="104">
        <v>2028000</v>
      </c>
      <c r="M17" s="104">
        <v>2093000</v>
      </c>
      <c r="N17" s="105">
        <f>2068528.56+10000</f>
        <v>2078528.56</v>
      </c>
      <c r="O17" s="105">
        <v>2064000</v>
      </c>
      <c r="P17" s="105">
        <f>1962000+10000+17000+13800+10000+10000+25000+15000</f>
        <v>2062800</v>
      </c>
      <c r="Q17" s="105">
        <f>2024187.1+10000+20000</f>
        <v>2054187.1</v>
      </c>
      <c r="R17" s="105">
        <f>2005220.75+10000</f>
        <v>2015220.75</v>
      </c>
      <c r="S17" s="105">
        <v>1952820.75</v>
      </c>
      <c r="T17" s="105">
        <v>1944002.97</v>
      </c>
      <c r="U17" s="105">
        <v>0</v>
      </c>
    </row>
    <row r="18" spans="2:23" hidden="1" x14ac:dyDescent="0.2">
      <c r="B18" s="103"/>
      <c r="C18" s="170"/>
      <c r="D18" s="171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05"/>
      <c r="P18" s="105"/>
      <c r="Q18" s="105"/>
      <c r="R18" s="105"/>
      <c r="S18" s="105"/>
      <c r="T18" s="105">
        <v>1741624.94</v>
      </c>
      <c r="U18" s="105"/>
    </row>
    <row r="19" spans="2:23" hidden="1" x14ac:dyDescent="0.2">
      <c r="B19" s="103"/>
      <c r="C19" s="170"/>
      <c r="D19" s="171"/>
      <c r="E19" s="104"/>
      <c r="F19" s="104"/>
      <c r="G19" s="104"/>
      <c r="H19" s="104">
        <v>48929</v>
      </c>
      <c r="I19" s="104"/>
      <c r="J19" s="104"/>
      <c r="K19" s="104"/>
      <c r="L19" s="104"/>
      <c r="M19" s="104"/>
      <c r="N19" s="105"/>
      <c r="O19" s="105"/>
      <c r="P19" s="105"/>
      <c r="Q19" s="105"/>
      <c r="R19" s="105"/>
      <c r="S19" s="105"/>
      <c r="T19" s="105"/>
      <c r="U19" s="105">
        <v>0</v>
      </c>
    </row>
    <row r="20" spans="2:23" hidden="1" x14ac:dyDescent="0.2">
      <c r="B20" s="103"/>
      <c r="C20" s="172"/>
      <c r="D20" s="173"/>
      <c r="E20" s="106"/>
      <c r="F20" s="106"/>
      <c r="G20" s="106"/>
      <c r="H20" s="106"/>
      <c r="I20" s="106"/>
      <c r="J20" s="106"/>
      <c r="K20" s="106"/>
      <c r="L20" s="106"/>
      <c r="M20" s="106"/>
      <c r="N20" s="107"/>
      <c r="O20" s="107"/>
      <c r="P20" s="107"/>
      <c r="Q20" s="107">
        <v>84813</v>
      </c>
      <c r="R20" s="107">
        <v>73779.25</v>
      </c>
      <c r="S20" s="80">
        <v>79179.25</v>
      </c>
      <c r="T20" s="80">
        <v>87994.03</v>
      </c>
      <c r="U20" s="80"/>
    </row>
    <row r="21" spans="2:23" ht="15.75" thickBot="1" x14ac:dyDescent="0.25">
      <c r="B21" s="108"/>
      <c r="C21" s="172"/>
      <c r="D21" s="173"/>
      <c r="E21" s="109"/>
      <c r="F21" s="109"/>
      <c r="G21" s="109"/>
      <c r="H21" s="109"/>
      <c r="I21" s="109">
        <v>6400</v>
      </c>
      <c r="J21" s="109">
        <v>6800</v>
      </c>
      <c r="K21" s="109"/>
      <c r="L21" s="109"/>
      <c r="M21" s="109">
        <v>8000</v>
      </c>
      <c r="N21" s="110"/>
      <c r="O21" s="110">
        <v>7200</v>
      </c>
      <c r="P21" s="110"/>
      <c r="Q21" s="107">
        <v>6400</v>
      </c>
      <c r="R21" s="107"/>
      <c r="S21" s="107"/>
      <c r="T21" s="107"/>
      <c r="U21" s="107">
        <v>0</v>
      </c>
    </row>
    <row r="22" spans="2:23" ht="15.75" thickBot="1" x14ac:dyDescent="0.25">
      <c r="B22" s="111"/>
      <c r="C22" s="168" t="s">
        <v>135</v>
      </c>
      <c r="D22" s="169"/>
      <c r="E22" s="112">
        <f>SUM(E23:E34)</f>
        <v>949022.06999999983</v>
      </c>
      <c r="F22" s="112">
        <f>SUM(F23:F34)</f>
        <v>895374.01</v>
      </c>
      <c r="G22" s="112">
        <f>SUM(G23:G34)</f>
        <v>673507.65</v>
      </c>
      <c r="H22" s="112">
        <f>SUM(H23:H34)</f>
        <v>1916367.7300000002</v>
      </c>
      <c r="I22" s="112">
        <f>SUM(I23:I34)</f>
        <v>1449972.0399999998</v>
      </c>
      <c r="J22" s="112">
        <f>SUM(J23:J35)</f>
        <v>1376240.74</v>
      </c>
      <c r="K22" s="112">
        <f t="shared" ref="K22:T22" si="4">SUM(K23:K35)</f>
        <v>1129708.0899999999</v>
      </c>
      <c r="L22" s="112">
        <f t="shared" si="4"/>
        <v>1082707.29</v>
      </c>
      <c r="M22" s="112">
        <f t="shared" si="4"/>
        <v>907486.11</v>
      </c>
      <c r="N22" s="112">
        <f t="shared" si="4"/>
        <v>870540.75</v>
      </c>
      <c r="O22" s="112">
        <f t="shared" si="4"/>
        <v>1001894.3200000001</v>
      </c>
      <c r="P22" s="112">
        <f t="shared" si="4"/>
        <v>953464.08000000007</v>
      </c>
      <c r="Q22" s="112">
        <f t="shared" si="4"/>
        <v>951623.52999999991</v>
      </c>
      <c r="R22" s="112">
        <f t="shared" si="4"/>
        <v>1060568.9100000001</v>
      </c>
      <c r="S22" s="112">
        <f t="shared" si="4"/>
        <v>360032.56</v>
      </c>
      <c r="T22" s="112">
        <f t="shared" si="4"/>
        <v>1839812.6099999999</v>
      </c>
      <c r="U22" s="113">
        <f>SUM(U23:U35)</f>
        <v>293462.11</v>
      </c>
      <c r="W22" s="114"/>
    </row>
    <row r="23" spans="2:23" x14ac:dyDescent="0.2">
      <c r="B23" s="103"/>
      <c r="C23" s="170" t="s">
        <v>136</v>
      </c>
      <c r="D23" s="171"/>
      <c r="E23" s="104">
        <f>382800+13000+13000+12000+14000+12000+7000+7000+8000+4000+12000+14000+18000</f>
        <v>516800</v>
      </c>
      <c r="F23" s="104">
        <f>382800+13000+13000+12000+14000+12000+7000+7000+8000+4000+12000+14000+18000</f>
        <v>516800</v>
      </c>
      <c r="G23" s="104">
        <f>382800+13000+13000+12000+14000+12000+7000+7000+8000+4000+12000+14000+18000</f>
        <v>516800</v>
      </c>
      <c r="H23" s="104">
        <f>509800+7000</f>
        <v>516800</v>
      </c>
      <c r="I23" s="104">
        <v>1028400</v>
      </c>
      <c r="J23" s="104">
        <f>382800+14300+18000+12000+15400+14400+8000+7700+5000+14300+8400+12000</f>
        <v>512300</v>
      </c>
      <c r="K23" s="104">
        <v>512300</v>
      </c>
      <c r="L23" s="104">
        <f>382800+14300+14300+14400+12000+8000+7700+8000+5000+12000+15400+18000</f>
        <v>511900</v>
      </c>
      <c r="M23" s="104">
        <v>512700</v>
      </c>
      <c r="N23" s="105">
        <v>500700</v>
      </c>
      <c r="O23" s="105">
        <v>500300</v>
      </c>
      <c r="P23" s="105">
        <f>382800+14300+7700+8400+15400+18000+12000+8000+14300+14400+5000+40000</f>
        <v>540300</v>
      </c>
      <c r="Q23" s="105">
        <v>520300</v>
      </c>
      <c r="R23" s="105">
        <v>520300</v>
      </c>
      <c r="S23" s="105"/>
      <c r="T23" s="105">
        <v>1051000</v>
      </c>
      <c r="U23" s="105"/>
    </row>
    <row r="24" spans="2:23" x14ac:dyDescent="0.2">
      <c r="B24" s="115"/>
      <c r="C24" s="161" t="s">
        <v>137</v>
      </c>
      <c r="D24" s="162"/>
      <c r="E24" s="116">
        <v>126850</v>
      </c>
      <c r="F24" s="116">
        <f>129231+142500</f>
        <v>271731</v>
      </c>
      <c r="G24" s="116">
        <v>0</v>
      </c>
      <c r="H24" s="116">
        <f>142500</f>
        <v>142500</v>
      </c>
      <c r="I24" s="116">
        <v>142500</v>
      </c>
      <c r="J24" s="116">
        <v>142500</v>
      </c>
      <c r="K24" s="116">
        <v>142500</v>
      </c>
      <c r="L24" s="116">
        <v>142500</v>
      </c>
      <c r="M24" s="116">
        <v>142500</v>
      </c>
      <c r="N24" s="80">
        <v>142500</v>
      </c>
      <c r="O24" s="80">
        <v>142500</v>
      </c>
      <c r="P24" s="80">
        <v>142500</v>
      </c>
      <c r="Q24" s="80">
        <v>142500</v>
      </c>
      <c r="R24" s="80">
        <v>142500</v>
      </c>
      <c r="S24" s="80">
        <v>142500</v>
      </c>
      <c r="T24" s="80">
        <v>142500</v>
      </c>
      <c r="U24" s="117"/>
    </row>
    <row r="25" spans="2:23" x14ac:dyDescent="0.2">
      <c r="B25" s="115"/>
      <c r="C25" s="161" t="s">
        <v>138</v>
      </c>
      <c r="D25" s="162"/>
      <c r="E25" s="116">
        <f>2489.12+14798.04+8756.43</f>
        <v>26043.59</v>
      </c>
      <c r="F25" s="116">
        <f>13523.87+10353.32+1718.13+7200</f>
        <v>32795.320000000007</v>
      </c>
      <c r="G25" s="116">
        <v>14833.93</v>
      </c>
      <c r="H25" s="116">
        <f>1910.47+37485.36+52669.49+950000+9672.8+8546.25+12988.37+200.04</f>
        <v>1073472.7800000003</v>
      </c>
      <c r="I25" s="116">
        <v>14853.89</v>
      </c>
      <c r="J25" s="116">
        <v>44870.85</v>
      </c>
      <c r="K25" s="116">
        <f>6543.47+5495+14990+2808+14977</f>
        <v>44813.47</v>
      </c>
      <c r="L25" s="116">
        <v>14754</v>
      </c>
      <c r="M25" s="116">
        <v>43246</v>
      </c>
      <c r="N25" s="80">
        <f>7430.23+3276+14858+3276.2</f>
        <v>28840.43</v>
      </c>
      <c r="O25" s="80">
        <f>12867+12020+8537</f>
        <v>33424</v>
      </c>
      <c r="P25" s="80">
        <f>10125+13746</f>
        <v>23871</v>
      </c>
      <c r="Q25" s="80">
        <f>11501+14633+2227</f>
        <v>28361</v>
      </c>
      <c r="R25" s="80">
        <f>2100+14146+12727+4297</f>
        <v>33270</v>
      </c>
      <c r="S25" s="80">
        <f>14925+14905-0.14</f>
        <v>29829.86</v>
      </c>
      <c r="T25" s="80">
        <f>29997+5000+3</f>
        <v>35000</v>
      </c>
      <c r="U25" s="117"/>
    </row>
    <row r="26" spans="2:23" x14ac:dyDescent="0.2">
      <c r="B26" s="115"/>
      <c r="C26" s="161" t="s">
        <v>139</v>
      </c>
      <c r="D26" s="162"/>
      <c r="E26" s="116">
        <v>85988.56</v>
      </c>
      <c r="F26" s="116"/>
      <c r="G26" s="116"/>
      <c r="H26" s="116">
        <v>27639.8</v>
      </c>
      <c r="I26" s="116">
        <v>1910.47</v>
      </c>
      <c r="J26" s="116"/>
      <c r="K26" s="116"/>
      <c r="L26" s="116"/>
      <c r="M26" s="116"/>
      <c r="N26" s="80">
        <v>0</v>
      </c>
      <c r="O26" s="80">
        <f>19760+14838.43+3220</f>
        <v>37818.43</v>
      </c>
      <c r="P26" s="80"/>
      <c r="Q26" s="80"/>
      <c r="R26" s="80"/>
      <c r="S26" s="80"/>
      <c r="T26" s="80">
        <f>23479.99+55935+62150</f>
        <v>141564.99</v>
      </c>
      <c r="U26" s="117"/>
    </row>
    <row r="27" spans="2:23" x14ac:dyDescent="0.2">
      <c r="B27" s="115"/>
      <c r="C27" s="161" t="s">
        <v>140</v>
      </c>
      <c r="D27" s="162"/>
      <c r="E27" s="116">
        <f>3220.5+32881.79</f>
        <v>36102.29</v>
      </c>
      <c r="F27" s="116">
        <v>8136</v>
      </c>
      <c r="G27" s="116">
        <v>3164</v>
      </c>
      <c r="H27" s="116">
        <f>6400+14853.89</f>
        <v>21253.89</v>
      </c>
      <c r="I27" s="116"/>
      <c r="J27" s="116"/>
      <c r="K27" s="116">
        <v>59181.46</v>
      </c>
      <c r="L27" s="116"/>
      <c r="M27" s="116"/>
      <c r="N27" s="80">
        <v>0</v>
      </c>
      <c r="O27" s="80">
        <v>12449.15</v>
      </c>
      <c r="P27" s="80">
        <v>33397.18</v>
      </c>
      <c r="Q27" s="80">
        <v>6687.11</v>
      </c>
      <c r="R27" s="80"/>
      <c r="S27" s="80"/>
      <c r="T27" s="80">
        <f>7882+26994+24246.16+45380.99+20769.97+29035</f>
        <v>154308.12</v>
      </c>
      <c r="U27" s="117">
        <f>22035+6272</f>
        <v>28307</v>
      </c>
      <c r="W27" s="71"/>
    </row>
    <row r="28" spans="2:23" x14ac:dyDescent="0.2">
      <c r="B28" s="115"/>
      <c r="C28" s="161" t="s">
        <v>141</v>
      </c>
      <c r="D28" s="162"/>
      <c r="E28" s="116">
        <v>10000</v>
      </c>
      <c r="F28" s="116">
        <v>10000</v>
      </c>
      <c r="G28" s="116">
        <v>10000</v>
      </c>
      <c r="H28" s="116">
        <v>10000</v>
      </c>
      <c r="I28" s="116">
        <v>20000</v>
      </c>
      <c r="J28" s="116">
        <v>10000</v>
      </c>
      <c r="K28" s="116">
        <v>10000</v>
      </c>
      <c r="L28" s="116">
        <v>10000</v>
      </c>
      <c r="M28" s="116">
        <v>10000</v>
      </c>
      <c r="N28" s="116">
        <v>10000</v>
      </c>
      <c r="O28" s="116">
        <f>10000+30000+2500</f>
        <v>42500</v>
      </c>
      <c r="P28" s="116">
        <v>16000</v>
      </c>
      <c r="Q28" s="116">
        <v>10000</v>
      </c>
      <c r="R28" s="116">
        <f>10000+8140</f>
        <v>18140</v>
      </c>
      <c r="S28" s="116">
        <v>8260</v>
      </c>
      <c r="T28" s="116">
        <f>10000+33250+10000</f>
        <v>53250</v>
      </c>
      <c r="U28" s="117">
        <v>0</v>
      </c>
      <c r="W28" s="71"/>
    </row>
    <row r="29" spans="2:23" x14ac:dyDescent="0.2">
      <c r="B29" s="115"/>
      <c r="C29" s="166" t="s">
        <v>142</v>
      </c>
      <c r="D29" s="166"/>
      <c r="E29" s="116">
        <v>14618.33</v>
      </c>
      <c r="F29" s="116">
        <v>22186.69</v>
      </c>
      <c r="G29" s="116">
        <v>11128.33</v>
      </c>
      <c r="H29" s="116">
        <v>22225.75</v>
      </c>
      <c r="I29" s="116">
        <v>22225.75</v>
      </c>
      <c r="J29" s="116">
        <v>223151.38</v>
      </c>
      <c r="K29" s="116">
        <v>16874.740000000002</v>
      </c>
      <c r="L29" s="116">
        <v>155087.79999999999</v>
      </c>
      <c r="M29" s="116">
        <v>16281.24</v>
      </c>
      <c r="N29" s="80">
        <v>13790.96</v>
      </c>
      <c r="O29" s="80">
        <v>12511.7</v>
      </c>
      <c r="P29" s="80">
        <v>24670.02</v>
      </c>
      <c r="Q29" s="80">
        <v>24498.959999999999</v>
      </c>
      <c r="R29" s="80">
        <v>12406.15</v>
      </c>
      <c r="S29" s="80">
        <v>16908.599999999999</v>
      </c>
      <c r="T29" s="80">
        <v>10190</v>
      </c>
      <c r="U29" s="117">
        <v>0</v>
      </c>
      <c r="W29" s="71"/>
    </row>
    <row r="30" spans="2:23" x14ac:dyDescent="0.2">
      <c r="B30" s="115"/>
      <c r="C30" s="166" t="s">
        <v>143</v>
      </c>
      <c r="D30" s="166"/>
      <c r="E30" s="116">
        <f>83337.5+37299.57</f>
        <v>120637.07</v>
      </c>
      <c r="F30" s="116">
        <f>14651.68+14125</f>
        <v>28776.68</v>
      </c>
      <c r="G30" s="116">
        <v>111700.5</v>
      </c>
      <c r="H30" s="116">
        <v>37912.46</v>
      </c>
      <c r="I30" s="116">
        <v>37912.46</v>
      </c>
      <c r="J30" s="116">
        <v>71726.28</v>
      </c>
      <c r="K30" s="116">
        <f>4350+28815+64687.7+1500+59899.6+1000.35</f>
        <v>160252.65</v>
      </c>
      <c r="L30" s="116">
        <v>84750</v>
      </c>
      <c r="M30" s="116">
        <v>9850</v>
      </c>
      <c r="N30" s="80">
        <v>2869</v>
      </c>
      <c r="O30" s="80">
        <f>10170+20636.86</f>
        <v>30806.86</v>
      </c>
      <c r="P30" s="80"/>
      <c r="Q30" s="80">
        <v>3000</v>
      </c>
      <c r="R30" s="80">
        <f>133780.51+3800+3000+6330+9300+3540</f>
        <v>159750.51</v>
      </c>
      <c r="S30" s="80"/>
      <c r="T30" s="80">
        <f>5876+3000+6030.2</f>
        <v>14906.2</v>
      </c>
      <c r="U30" s="117">
        <v>0</v>
      </c>
      <c r="W30" s="71"/>
    </row>
    <row r="31" spans="2:23" x14ac:dyDescent="0.2">
      <c r="B31" s="118"/>
      <c r="C31" s="166" t="s">
        <v>144</v>
      </c>
      <c r="D31" s="166"/>
      <c r="E31" s="116"/>
      <c r="F31" s="116"/>
      <c r="G31" s="116"/>
      <c r="H31" s="116">
        <v>34699.25</v>
      </c>
      <c r="I31" s="116">
        <v>34899.25</v>
      </c>
      <c r="J31" s="116"/>
      <c r="K31" s="116"/>
      <c r="L31" s="116">
        <v>0</v>
      </c>
      <c r="M31" s="116">
        <v>2435.98</v>
      </c>
      <c r="N31" s="80"/>
      <c r="O31" s="80"/>
      <c r="P31" s="80"/>
      <c r="Q31" s="80"/>
      <c r="R31" s="80"/>
      <c r="S31" s="80"/>
      <c r="T31" s="80">
        <v>34899.25</v>
      </c>
      <c r="U31" s="105">
        <v>0</v>
      </c>
      <c r="W31" s="71"/>
    </row>
    <row r="32" spans="2:23" x14ac:dyDescent="0.2">
      <c r="B32" s="118"/>
      <c r="C32" s="166" t="s">
        <v>145</v>
      </c>
      <c r="D32" s="166"/>
      <c r="E32" s="116">
        <v>6939</v>
      </c>
      <c r="F32" s="116"/>
      <c r="G32" s="116"/>
      <c r="H32" s="116">
        <f>15255+7571</f>
        <v>22826</v>
      </c>
      <c r="I32" s="116">
        <f>124677.1+9672.8</f>
        <v>134349.9</v>
      </c>
      <c r="J32" s="116">
        <f>12449.15+8000+10396+17176</f>
        <v>48021.15</v>
      </c>
      <c r="K32" s="116">
        <f>6336.3+9492</f>
        <v>15828.3</v>
      </c>
      <c r="L32" s="116">
        <v>0</v>
      </c>
      <c r="M32" s="116"/>
      <c r="N32" s="80">
        <v>8390.73</v>
      </c>
      <c r="O32" s="80">
        <f>7119+6835+4959</f>
        <v>18913</v>
      </c>
      <c r="P32" s="80">
        <v>8757</v>
      </c>
      <c r="Q32" s="80">
        <f>35000+4864+8139.83+5361</f>
        <v>53364.83</v>
      </c>
      <c r="R32" s="80">
        <f>4000+5600</f>
        <v>9600</v>
      </c>
      <c r="S32" s="80"/>
      <c r="T32" s="80">
        <v>24040</v>
      </c>
      <c r="U32" s="105">
        <v>263798.5</v>
      </c>
      <c r="W32" s="71"/>
    </row>
    <row r="33" spans="2:23" x14ac:dyDescent="0.2">
      <c r="B33" s="115"/>
      <c r="C33" s="167" t="s">
        <v>146</v>
      </c>
      <c r="D33" s="167"/>
      <c r="E33" s="109"/>
      <c r="F33" s="109"/>
      <c r="G33" s="109"/>
      <c r="H33" s="109"/>
      <c r="I33" s="109"/>
      <c r="J33" s="109"/>
      <c r="K33" s="109"/>
      <c r="L33" s="109">
        <v>0</v>
      </c>
      <c r="M33" s="109">
        <v>6640</v>
      </c>
      <c r="N33" s="110">
        <v>0</v>
      </c>
      <c r="O33" s="110">
        <v>6640</v>
      </c>
      <c r="P33" s="110">
        <v>0</v>
      </c>
      <c r="Q33" s="80"/>
      <c r="R33" s="80"/>
      <c r="S33" s="80"/>
      <c r="T33" s="80">
        <v>6640</v>
      </c>
      <c r="U33" s="105">
        <v>0</v>
      </c>
      <c r="W33" s="71"/>
    </row>
    <row r="34" spans="2:23" x14ac:dyDescent="0.2">
      <c r="B34" s="115"/>
      <c r="C34" s="166" t="s">
        <v>147</v>
      </c>
      <c r="D34" s="166"/>
      <c r="E34" s="116">
        <f>4678.9+364.33</f>
        <v>5043.2299999999996</v>
      </c>
      <c r="F34" s="116">
        <f>4569.97+378.35</f>
        <v>4948.3200000000006</v>
      </c>
      <c r="G34" s="116">
        <f>5162.46+718.43</f>
        <v>5880.89</v>
      </c>
      <c r="H34" s="116">
        <f>6655.08+382.72</f>
        <v>7037.8</v>
      </c>
      <c r="I34" s="116">
        <v>12920.32</v>
      </c>
      <c r="J34" s="116">
        <v>5496.08</v>
      </c>
      <c r="K34" s="116">
        <v>8869.9699999999993</v>
      </c>
      <c r="L34" s="116">
        <v>4627.99</v>
      </c>
      <c r="M34" s="116">
        <v>4745.3900000000003</v>
      </c>
      <c r="N34" s="80">
        <v>4362.13</v>
      </c>
      <c r="O34" s="80">
        <v>4943.68</v>
      </c>
      <c r="P34" s="80">
        <v>4881.38</v>
      </c>
      <c r="Q34" s="80">
        <v>3824.13</v>
      </c>
      <c r="R34" s="80">
        <v>5514.75</v>
      </c>
      <c r="S34" s="80">
        <v>3446.6</v>
      </c>
      <c r="T34" s="80">
        <v>12426.55</v>
      </c>
      <c r="U34" s="83">
        <v>1356.61</v>
      </c>
      <c r="W34" s="71"/>
    </row>
    <row r="35" spans="2:23" ht="15.75" thickBot="1" x14ac:dyDescent="0.25">
      <c r="B35" s="108"/>
      <c r="C35" s="167" t="s">
        <v>148</v>
      </c>
      <c r="D35" s="167"/>
      <c r="E35" s="109"/>
      <c r="F35" s="109"/>
      <c r="G35" s="109"/>
      <c r="H35" s="109"/>
      <c r="I35" s="109"/>
      <c r="J35" s="109">
        <f>159087.5+159087.5</f>
        <v>318175</v>
      </c>
      <c r="K35" s="109">
        <v>159087.5</v>
      </c>
      <c r="L35" s="109">
        <v>159087.5</v>
      </c>
      <c r="M35" s="109">
        <v>159087.5</v>
      </c>
      <c r="N35" s="109">
        <v>159087.5</v>
      </c>
      <c r="O35" s="109">
        <v>159087.5</v>
      </c>
      <c r="P35" s="109">
        <v>159087.5</v>
      </c>
      <c r="Q35" s="109">
        <v>159087.5</v>
      </c>
      <c r="R35" s="109">
        <v>159087.5</v>
      </c>
      <c r="S35" s="109">
        <v>159087.5</v>
      </c>
      <c r="T35" s="109">
        <v>159087.5</v>
      </c>
      <c r="U35" s="86"/>
      <c r="W35" s="71"/>
    </row>
    <row r="36" spans="2:23" ht="15.75" thickBot="1" x14ac:dyDescent="0.25">
      <c r="B36" s="119"/>
      <c r="C36" s="168" t="s">
        <v>149</v>
      </c>
      <c r="D36" s="169"/>
      <c r="E36" s="112">
        <f>SUM(E37:E41)</f>
        <v>154861.62</v>
      </c>
      <c r="F36" s="112">
        <f t="shared" ref="F36:T36" si="5">SUM(F37:F41)</f>
        <v>105037.38</v>
      </c>
      <c r="G36" s="112">
        <f t="shared" si="5"/>
        <v>93342.59</v>
      </c>
      <c r="H36" s="112">
        <f t="shared" si="5"/>
        <v>4693720.07</v>
      </c>
      <c r="I36" s="112">
        <f t="shared" si="5"/>
        <v>5643720.0700000012</v>
      </c>
      <c r="J36" s="112">
        <f t="shared" si="5"/>
        <v>30254.66</v>
      </c>
      <c r="K36" s="112">
        <f t="shared" si="5"/>
        <v>2921384.58</v>
      </c>
      <c r="L36" s="112">
        <f t="shared" si="5"/>
        <v>39963.54</v>
      </c>
      <c r="M36" s="112">
        <f t="shared" si="5"/>
        <v>77020.44</v>
      </c>
      <c r="N36" s="120">
        <f t="shared" si="5"/>
        <v>35109.9</v>
      </c>
      <c r="O36" s="102">
        <f t="shared" si="5"/>
        <v>288880.54000000004</v>
      </c>
      <c r="P36" s="112">
        <f t="shared" si="5"/>
        <v>282783.40000000002</v>
      </c>
      <c r="Q36" s="112">
        <f t="shared" si="5"/>
        <v>38176.51</v>
      </c>
      <c r="R36" s="112">
        <f t="shared" si="5"/>
        <v>0</v>
      </c>
      <c r="S36" s="112">
        <f t="shared" si="5"/>
        <v>0</v>
      </c>
      <c r="T36" s="112">
        <f t="shared" si="5"/>
        <v>2873986.96</v>
      </c>
      <c r="U36" s="121">
        <f>SUM(U37:U41)</f>
        <v>413971.381559017</v>
      </c>
      <c r="W36" s="71"/>
    </row>
    <row r="37" spans="2:23" x14ac:dyDescent="0.2">
      <c r="B37" s="103"/>
      <c r="C37" s="170" t="s">
        <v>150</v>
      </c>
      <c r="D37" s="171"/>
      <c r="E37" s="104">
        <f>4631.25+1609.1+4383.52+8558.55+12806.8+9120</f>
        <v>41109.22</v>
      </c>
      <c r="F37" s="104">
        <f>8932.56+5222.43+3244.25+15347.31+2593.5+7891.65+5922.75+6995.47+5744.46+1820.48+2648.41</f>
        <v>66363.27</v>
      </c>
      <c r="G37" s="104">
        <v>9044.59</v>
      </c>
      <c r="H37" s="104"/>
      <c r="I37" s="104">
        <v>0</v>
      </c>
      <c r="J37" s="104">
        <v>30254.66</v>
      </c>
      <c r="K37" s="104">
        <v>33558.69</v>
      </c>
      <c r="L37" s="104">
        <v>39963.54</v>
      </c>
      <c r="M37" s="104">
        <v>24312.85</v>
      </c>
      <c r="N37" s="105">
        <f>26213.53</f>
        <v>26213.53</v>
      </c>
      <c r="O37" s="105">
        <f>23597.96+2475.37</f>
        <v>26073.329999999998</v>
      </c>
      <c r="P37" s="105"/>
      <c r="Q37" s="105">
        <f>33781.8+4394.71</f>
        <v>38176.51</v>
      </c>
      <c r="R37" s="105"/>
      <c r="S37" s="105"/>
      <c r="T37" s="105">
        <v>4351.96</v>
      </c>
      <c r="U37" s="117">
        <f>6533.65+1719.9+8325.01+8653.14+3871.53+15000+15000+18200</f>
        <v>77303.23</v>
      </c>
      <c r="W37" s="71"/>
    </row>
    <row r="38" spans="2:23" x14ac:dyDescent="0.2">
      <c r="B38" s="115"/>
      <c r="C38" s="161" t="s">
        <v>151</v>
      </c>
      <c r="D38" s="162"/>
      <c r="E38" s="116">
        <v>21696</v>
      </c>
      <c r="F38" s="116">
        <v>7627.5</v>
      </c>
      <c r="G38" s="116">
        <f>32883+23730</f>
        <v>56613</v>
      </c>
      <c r="H38" s="116"/>
      <c r="I38" s="116"/>
      <c r="J38" s="116"/>
      <c r="K38" s="116"/>
      <c r="L38" s="116">
        <v>0</v>
      </c>
      <c r="M38" s="116">
        <v>28575.59</v>
      </c>
      <c r="N38" s="80">
        <v>8896.3700000000008</v>
      </c>
      <c r="O38" s="80"/>
      <c r="P38" s="80">
        <f>17553.3+38137.95+0.5</f>
        <v>55691.75</v>
      </c>
      <c r="Q38" s="80"/>
      <c r="R38" s="80"/>
      <c r="S38" s="80"/>
      <c r="T38" s="80"/>
      <c r="U38" s="117">
        <f>50115.501559017+20000</f>
        <v>70115.501559016993</v>
      </c>
      <c r="W38" s="71"/>
    </row>
    <row r="39" spans="2:23" x14ac:dyDescent="0.2">
      <c r="B39" s="115"/>
      <c r="C39" s="161" t="s">
        <v>152</v>
      </c>
      <c r="D39" s="162"/>
      <c r="E39" s="116">
        <v>54556.4</v>
      </c>
      <c r="F39" s="116">
        <v>10246.61</v>
      </c>
      <c r="G39" s="116"/>
      <c r="H39" s="116"/>
      <c r="I39" s="116"/>
      <c r="J39" s="116"/>
      <c r="K39" s="116"/>
      <c r="L39" s="116"/>
      <c r="M39" s="116"/>
      <c r="N39" s="80"/>
      <c r="O39" s="80"/>
      <c r="P39" s="80"/>
      <c r="Q39" s="80"/>
      <c r="R39" s="80"/>
      <c r="S39" s="80"/>
      <c r="T39" s="80"/>
      <c r="U39" s="117">
        <f>53254+27000+25000+40000+10000</f>
        <v>155254</v>
      </c>
      <c r="W39" s="71"/>
    </row>
    <row r="40" spans="2:23" ht="15.75" thickBot="1" x14ac:dyDescent="0.25">
      <c r="B40" s="115"/>
      <c r="C40" s="161" t="s">
        <v>153</v>
      </c>
      <c r="D40" s="162"/>
      <c r="E40" s="116">
        <v>37500</v>
      </c>
      <c r="F40" s="116">
        <v>20800</v>
      </c>
      <c r="G40" s="116">
        <v>27685</v>
      </c>
      <c r="H40" s="116"/>
      <c r="I40" s="116">
        <v>0</v>
      </c>
      <c r="J40" s="116"/>
      <c r="K40" s="116">
        <v>18324.55</v>
      </c>
      <c r="L40" s="116"/>
      <c r="M40" s="116"/>
      <c r="N40" s="80"/>
      <c r="O40" s="80"/>
      <c r="P40" s="80"/>
      <c r="Q40" s="80"/>
      <c r="R40" s="80"/>
      <c r="S40" s="80"/>
      <c r="T40" s="80"/>
      <c r="U40" s="117">
        <v>0</v>
      </c>
      <c r="W40" s="71"/>
    </row>
    <row r="41" spans="2:23" ht="15.75" thickBot="1" x14ac:dyDescent="0.25">
      <c r="B41" s="115"/>
      <c r="C41" s="161" t="s">
        <v>154</v>
      </c>
      <c r="D41" s="162"/>
      <c r="E41" s="91"/>
      <c r="F41" s="91"/>
      <c r="G41" s="91">
        <v>0</v>
      </c>
      <c r="H41" s="82">
        <v>4693720.07</v>
      </c>
      <c r="I41" s="82">
        <f>950000+394566.09+339551.57+339551.57+339551.57+339551.57+339551.57+339551.57+282730.57+282730.57+282730.57+282730.57+282730.57+282730.57+282730.57+282730.57</f>
        <v>5643720.0700000012</v>
      </c>
      <c r="J41" s="82"/>
      <c r="K41" s="82">
        <f>2829281+40220.34</f>
        <v>2869501.34</v>
      </c>
      <c r="L41" s="82">
        <v>0</v>
      </c>
      <c r="M41" s="91">
        <v>24132</v>
      </c>
      <c r="N41" s="122"/>
      <c r="O41" s="122">
        <v>262807.21000000002</v>
      </c>
      <c r="P41" s="122">
        <f>67646.77+126104.17+15000+9475+8865.71</f>
        <v>227091.65</v>
      </c>
      <c r="Q41" s="122"/>
      <c r="R41" s="122"/>
      <c r="S41" s="122"/>
      <c r="T41" s="122">
        <v>2869635</v>
      </c>
      <c r="U41" s="123">
        <f>40000+30000+41298.65</f>
        <v>111298.65</v>
      </c>
      <c r="W41" s="71"/>
    </row>
    <row r="42" spans="2:23" ht="15.75" thickBot="1" x14ac:dyDescent="0.25">
      <c r="B42" s="124"/>
      <c r="C42" s="125"/>
      <c r="D42" s="125"/>
      <c r="E42" s="126"/>
      <c r="F42" s="126"/>
      <c r="G42" s="126"/>
      <c r="H42" s="127"/>
      <c r="I42" s="127"/>
      <c r="J42" s="127"/>
      <c r="K42" s="127"/>
      <c r="L42" s="127"/>
      <c r="M42" s="126"/>
      <c r="N42" s="128"/>
      <c r="O42" s="128"/>
      <c r="P42" s="128"/>
      <c r="Q42" s="128"/>
      <c r="R42" s="128"/>
      <c r="S42" s="128"/>
      <c r="T42" s="128"/>
      <c r="U42" s="128"/>
      <c r="W42" s="71"/>
    </row>
    <row r="43" spans="2:23" ht="15.75" thickBot="1" x14ac:dyDescent="0.25">
      <c r="B43" s="129"/>
      <c r="C43" s="163" t="s">
        <v>155</v>
      </c>
      <c r="D43" s="164"/>
      <c r="E43" s="96">
        <f>+E36+E22+E16</f>
        <v>3161383.69</v>
      </c>
      <c r="F43" s="96">
        <f>+F36+F22+F16</f>
        <v>3053411.39</v>
      </c>
      <c r="G43" s="96">
        <f>+G36+G22+G16</f>
        <v>2824850.24</v>
      </c>
      <c r="H43" s="96">
        <f>+H36+H22+H16</f>
        <v>10648326.98</v>
      </c>
      <c r="I43" s="96">
        <f t="shared" ref="I43:T43" si="6">+I16+I22+I36</f>
        <v>9107092.1100000013</v>
      </c>
      <c r="J43" s="96">
        <f t="shared" si="6"/>
        <v>3398795.4000000004</v>
      </c>
      <c r="K43" s="96">
        <f t="shared" si="6"/>
        <v>6041092.6699999999</v>
      </c>
      <c r="L43" s="96">
        <f t="shared" si="6"/>
        <v>3150670.83</v>
      </c>
      <c r="M43" s="96">
        <f t="shared" si="6"/>
        <v>3085506.55</v>
      </c>
      <c r="N43" s="96">
        <f t="shared" si="6"/>
        <v>2984179.21</v>
      </c>
      <c r="O43" s="96">
        <f t="shared" si="6"/>
        <v>3361974.8600000003</v>
      </c>
      <c r="P43" s="96">
        <f t="shared" si="6"/>
        <v>3299047.48</v>
      </c>
      <c r="Q43" s="96">
        <f t="shared" si="6"/>
        <v>3135200.1399999997</v>
      </c>
      <c r="R43" s="96">
        <f t="shared" si="6"/>
        <v>3149568.91</v>
      </c>
      <c r="S43" s="96">
        <f t="shared" si="6"/>
        <v>2392032.56</v>
      </c>
      <c r="T43" s="96">
        <f t="shared" si="6"/>
        <v>8487421.5099999998</v>
      </c>
      <c r="U43" s="97">
        <f>+U36+U22</f>
        <v>707433.49155901698</v>
      </c>
    </row>
    <row r="44" spans="2:23" x14ac:dyDescent="0.2">
      <c r="C44" s="165"/>
      <c r="D44" s="165"/>
      <c r="E44" s="130"/>
      <c r="F44" s="130"/>
      <c r="G44" s="130"/>
      <c r="H44" s="130"/>
      <c r="I44" s="130"/>
      <c r="J44" s="130"/>
      <c r="K44" s="130"/>
      <c r="L44" s="130"/>
      <c r="M44" s="130"/>
      <c r="N44" s="71"/>
      <c r="O44" s="71"/>
      <c r="P44" s="71"/>
      <c r="Q44" s="71"/>
      <c r="R44" s="71"/>
      <c r="S44" s="71"/>
      <c r="T44" s="71"/>
      <c r="U44" s="71"/>
    </row>
    <row r="45" spans="2:23" x14ac:dyDescent="0.2">
      <c r="B45" s="156" t="s">
        <v>156</v>
      </c>
      <c r="C45" s="156"/>
      <c r="D45" s="156"/>
      <c r="E45" s="131"/>
      <c r="F45" s="131"/>
      <c r="G45" s="131"/>
      <c r="H45" s="131"/>
      <c r="I45" s="131"/>
      <c r="J45" s="131"/>
      <c r="K45" s="131"/>
      <c r="L45" s="131"/>
      <c r="M45" s="131"/>
      <c r="N45" s="71"/>
      <c r="O45" s="71"/>
      <c r="P45" s="71"/>
      <c r="Q45" s="71"/>
      <c r="R45" s="71"/>
      <c r="S45" s="71"/>
      <c r="T45" s="71"/>
      <c r="U45" s="71"/>
    </row>
    <row r="46" spans="2:23" x14ac:dyDescent="0.2">
      <c r="B46" s="157" t="s">
        <v>157</v>
      </c>
      <c r="C46" s="158"/>
      <c r="D46" s="159"/>
      <c r="E46" s="132"/>
      <c r="F46" s="132"/>
      <c r="G46" s="132"/>
      <c r="H46" s="132"/>
      <c r="I46" s="132">
        <f>+I13</f>
        <v>3159087.5</v>
      </c>
      <c r="J46" s="132">
        <f t="shared" ref="J46:U46" si="7">+J13</f>
        <v>3159087.5</v>
      </c>
      <c r="K46" s="132">
        <f t="shared" si="7"/>
        <v>3159087.5</v>
      </c>
      <c r="L46" s="132">
        <f t="shared" si="7"/>
        <v>3159087.5</v>
      </c>
      <c r="M46" s="132">
        <f t="shared" si="7"/>
        <v>3159087.5</v>
      </c>
      <c r="N46" s="132">
        <f t="shared" si="7"/>
        <v>3162363.5</v>
      </c>
      <c r="O46" s="132">
        <f t="shared" si="7"/>
        <v>3159087.5</v>
      </c>
      <c r="P46" s="132">
        <f t="shared" si="7"/>
        <v>3159087.5</v>
      </c>
      <c r="Q46" s="132">
        <f t="shared" si="7"/>
        <v>3159087.5</v>
      </c>
      <c r="R46" s="132">
        <f t="shared" si="7"/>
        <v>3159087.5</v>
      </c>
      <c r="S46" s="132">
        <f t="shared" si="7"/>
        <v>7159087.5</v>
      </c>
      <c r="T46" s="132">
        <f t="shared" si="7"/>
        <v>3159087.5</v>
      </c>
      <c r="U46" s="133">
        <f t="shared" si="7"/>
        <v>898638</v>
      </c>
    </row>
    <row r="47" spans="2:23" x14ac:dyDescent="0.2">
      <c r="B47" s="157" t="s">
        <v>158</v>
      </c>
      <c r="C47" s="158"/>
      <c r="D47" s="159"/>
      <c r="E47" s="132"/>
      <c r="F47" s="132"/>
      <c r="G47" s="132"/>
      <c r="H47" s="132"/>
      <c r="I47" s="132">
        <f>+I43</f>
        <v>9107092.1100000013</v>
      </c>
      <c r="J47" s="132">
        <f t="shared" ref="J47:U47" si="8">+J43</f>
        <v>3398795.4000000004</v>
      </c>
      <c r="K47" s="132">
        <f t="shared" si="8"/>
        <v>6041092.6699999999</v>
      </c>
      <c r="L47" s="132">
        <f t="shared" si="8"/>
        <v>3150670.83</v>
      </c>
      <c r="M47" s="132">
        <f t="shared" si="8"/>
        <v>3085506.55</v>
      </c>
      <c r="N47" s="132">
        <f t="shared" si="8"/>
        <v>2984179.21</v>
      </c>
      <c r="O47" s="132">
        <f t="shared" si="8"/>
        <v>3361974.8600000003</v>
      </c>
      <c r="P47" s="132">
        <f t="shared" si="8"/>
        <v>3299047.48</v>
      </c>
      <c r="Q47" s="132">
        <f t="shared" si="8"/>
        <v>3135200.1399999997</v>
      </c>
      <c r="R47" s="132">
        <f t="shared" si="8"/>
        <v>3149568.91</v>
      </c>
      <c r="S47" s="132">
        <f t="shared" si="8"/>
        <v>2392032.56</v>
      </c>
      <c r="T47" s="132">
        <f t="shared" si="8"/>
        <v>8487421.5099999998</v>
      </c>
      <c r="U47" s="133">
        <f t="shared" si="8"/>
        <v>707433.49155901698</v>
      </c>
    </row>
    <row r="48" spans="2:23" x14ac:dyDescent="0.2">
      <c r="B48" s="157" t="s">
        <v>159</v>
      </c>
      <c r="C48" s="158"/>
      <c r="D48" s="159"/>
      <c r="E48" s="132"/>
      <c r="F48" s="132"/>
      <c r="G48" s="132"/>
      <c r="H48" s="132"/>
      <c r="I48" s="132">
        <f>+I46-I47</f>
        <v>-5948004.6100000013</v>
      </c>
      <c r="J48" s="132">
        <f t="shared" ref="J48:U48" si="9">+J46-J47</f>
        <v>-239707.90000000037</v>
      </c>
      <c r="K48" s="132">
        <f t="shared" si="9"/>
        <v>-2882005.17</v>
      </c>
      <c r="L48" s="132">
        <f t="shared" si="9"/>
        <v>8416.6699999999255</v>
      </c>
      <c r="M48" s="132">
        <f t="shared" si="9"/>
        <v>73580.950000000186</v>
      </c>
      <c r="N48" s="132">
        <f t="shared" si="9"/>
        <v>178184.29000000004</v>
      </c>
      <c r="O48" s="132">
        <f t="shared" si="9"/>
        <v>-202887.36000000034</v>
      </c>
      <c r="P48" s="132">
        <f t="shared" si="9"/>
        <v>-139959.97999999998</v>
      </c>
      <c r="Q48" s="132">
        <f t="shared" si="9"/>
        <v>23887.360000000335</v>
      </c>
      <c r="R48" s="132">
        <f t="shared" si="9"/>
        <v>9518.589999999851</v>
      </c>
      <c r="S48" s="132">
        <f t="shared" si="9"/>
        <v>4767054.9399999995</v>
      </c>
      <c r="T48" s="132">
        <f t="shared" si="9"/>
        <v>-5328334.01</v>
      </c>
      <c r="U48" s="133">
        <f t="shared" si="9"/>
        <v>191204.50844098302</v>
      </c>
    </row>
    <row r="49" spans="2:23" x14ac:dyDescent="0.2">
      <c r="B49" s="157" t="s">
        <v>160</v>
      </c>
      <c r="C49" s="158"/>
      <c r="D49" s="159"/>
      <c r="E49" s="132"/>
      <c r="F49" s="132"/>
      <c r="G49" s="132"/>
      <c r="H49" s="132"/>
      <c r="I49" s="132">
        <v>9947703.0299999993</v>
      </c>
      <c r="J49" s="132">
        <f t="shared" ref="J49:T49" si="10">+I50</f>
        <v>3999698.4199999981</v>
      </c>
      <c r="K49" s="132">
        <f t="shared" si="10"/>
        <v>3759990.5199999977</v>
      </c>
      <c r="L49" s="132">
        <f t="shared" si="10"/>
        <v>877985.34999999776</v>
      </c>
      <c r="M49" s="132">
        <f t="shared" si="10"/>
        <v>886402.01999999769</v>
      </c>
      <c r="N49" s="132">
        <f t="shared" si="10"/>
        <v>959982.96999999788</v>
      </c>
      <c r="O49" s="132">
        <f t="shared" si="10"/>
        <v>1138167.2599999979</v>
      </c>
      <c r="P49" s="132">
        <f t="shared" si="10"/>
        <v>935279.89999999758</v>
      </c>
      <c r="Q49" s="132">
        <f t="shared" si="10"/>
        <v>795319.9199999976</v>
      </c>
      <c r="R49" s="132">
        <f t="shared" si="10"/>
        <v>819207.27999999793</v>
      </c>
      <c r="S49" s="132">
        <f t="shared" si="10"/>
        <v>828725.86999999778</v>
      </c>
      <c r="T49" s="132">
        <f t="shared" si="10"/>
        <v>5595780.8099999968</v>
      </c>
      <c r="U49" s="133">
        <f>+'[3]FEBRERO 2026'!U50</f>
        <v>391132.2099999995</v>
      </c>
    </row>
    <row r="50" spans="2:23" x14ac:dyDescent="0.2">
      <c r="B50" s="160" t="s">
        <v>161</v>
      </c>
      <c r="C50" s="160"/>
      <c r="D50" s="160"/>
      <c r="E50" s="132"/>
      <c r="F50" s="132"/>
      <c r="G50" s="132"/>
      <c r="H50" s="132"/>
      <c r="I50" s="132">
        <f>+I49+I48</f>
        <v>3999698.4199999981</v>
      </c>
      <c r="J50" s="132">
        <f t="shared" ref="J50:U50" si="11">+J49+J48</f>
        <v>3759990.5199999977</v>
      </c>
      <c r="K50" s="132">
        <f t="shared" si="11"/>
        <v>877985.34999999776</v>
      </c>
      <c r="L50" s="132">
        <f t="shared" si="11"/>
        <v>886402.01999999769</v>
      </c>
      <c r="M50" s="132">
        <f t="shared" si="11"/>
        <v>959982.96999999788</v>
      </c>
      <c r="N50" s="132">
        <f t="shared" si="11"/>
        <v>1138167.2599999979</v>
      </c>
      <c r="O50" s="132">
        <f t="shared" si="11"/>
        <v>935279.89999999758</v>
      </c>
      <c r="P50" s="132">
        <f t="shared" si="11"/>
        <v>795319.9199999976</v>
      </c>
      <c r="Q50" s="132">
        <f t="shared" si="11"/>
        <v>819207.27999999793</v>
      </c>
      <c r="R50" s="132">
        <f t="shared" si="11"/>
        <v>828725.86999999778</v>
      </c>
      <c r="S50" s="132">
        <f t="shared" si="11"/>
        <v>5595780.8099999968</v>
      </c>
      <c r="T50" s="132">
        <f t="shared" si="11"/>
        <v>267446.79999999702</v>
      </c>
      <c r="U50" s="133">
        <f t="shared" si="11"/>
        <v>582336.71844098251</v>
      </c>
      <c r="W50" s="134"/>
    </row>
    <row r="51" spans="2:23" x14ac:dyDescent="0.2"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35"/>
      <c r="V51" s="134"/>
      <c r="W51" s="114"/>
    </row>
    <row r="52" spans="2:23" x14ac:dyDescent="0.2">
      <c r="B52" s="72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</row>
    <row r="53" spans="2:23" x14ac:dyDescent="0.2">
      <c r="B53" s="72"/>
      <c r="C53" s="72"/>
      <c r="D53" s="136"/>
      <c r="E53" s="137"/>
      <c r="F53" s="137"/>
      <c r="G53" s="137"/>
      <c r="H53" s="136"/>
      <c r="I53" s="138"/>
      <c r="J53" s="136"/>
      <c r="K53" s="138"/>
      <c r="L53" s="136"/>
      <c r="M53" s="136"/>
      <c r="N53" s="136"/>
      <c r="O53" s="136"/>
      <c r="P53" s="136"/>
      <c r="Q53" s="138"/>
      <c r="R53" s="136"/>
      <c r="S53" s="136"/>
      <c r="T53" s="136"/>
      <c r="U53" s="139"/>
    </row>
    <row r="54" spans="2:23" x14ac:dyDescent="0.2">
      <c r="B54" s="72"/>
      <c r="C54" s="72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140"/>
    </row>
    <row r="57" spans="2:23" x14ac:dyDescent="0.2">
      <c r="B57" s="72"/>
    </row>
    <row r="58" spans="2:23" x14ac:dyDescent="0.2"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</row>
    <row r="59" spans="2:23" x14ac:dyDescent="0.2">
      <c r="B59" s="136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141"/>
      <c r="O59" s="141"/>
      <c r="P59" s="141"/>
      <c r="Q59" s="141"/>
      <c r="R59" s="141"/>
      <c r="S59" s="141"/>
      <c r="T59" s="141"/>
      <c r="U59" s="141"/>
    </row>
    <row r="60" spans="2:23" x14ac:dyDescent="0.2">
      <c r="B60" s="124"/>
      <c r="N60" s="141"/>
      <c r="O60" s="141"/>
      <c r="P60" s="141"/>
      <c r="Q60" s="141"/>
      <c r="R60" s="141"/>
      <c r="S60" s="141"/>
      <c r="T60" s="141"/>
      <c r="U60" s="141"/>
    </row>
    <row r="61" spans="2:23" x14ac:dyDescent="0.2">
      <c r="B61" s="124"/>
      <c r="N61" s="141"/>
      <c r="O61" s="141"/>
      <c r="P61" s="141"/>
      <c r="Q61" s="141"/>
      <c r="R61" s="141"/>
      <c r="S61" s="141"/>
      <c r="T61" s="141"/>
      <c r="U61" s="141"/>
    </row>
    <row r="62" spans="2:23" x14ac:dyDescent="0.2">
      <c r="B62" s="136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141"/>
      <c r="O62" s="141"/>
      <c r="P62" s="141"/>
      <c r="Q62" s="141"/>
      <c r="R62" s="141"/>
      <c r="S62" s="141"/>
      <c r="T62" s="141"/>
      <c r="U62" s="141"/>
    </row>
    <row r="63" spans="2:23" x14ac:dyDescent="0.2">
      <c r="B63" s="124"/>
      <c r="N63" s="141"/>
      <c r="O63" s="141"/>
      <c r="P63" s="141"/>
      <c r="Q63" s="141"/>
      <c r="R63" s="141"/>
      <c r="S63" s="141"/>
      <c r="T63" s="141"/>
      <c r="U63" s="141"/>
    </row>
    <row r="64" spans="2:23" x14ac:dyDescent="0.2">
      <c r="B64" s="124"/>
      <c r="N64" s="141"/>
      <c r="O64" s="141"/>
      <c r="P64" s="141"/>
      <c r="Q64" s="141"/>
      <c r="R64" s="141"/>
      <c r="S64" s="141"/>
      <c r="T64" s="141"/>
      <c r="U64" s="141"/>
    </row>
    <row r="65" spans="2:21" x14ac:dyDescent="0.2">
      <c r="B65" s="124"/>
      <c r="N65" s="141"/>
      <c r="O65" s="141"/>
      <c r="P65" s="141"/>
      <c r="Q65" s="141"/>
      <c r="R65" s="141"/>
      <c r="S65" s="141"/>
      <c r="T65" s="141"/>
      <c r="U65" s="141"/>
    </row>
    <row r="66" spans="2:21" x14ac:dyDescent="0.2">
      <c r="B66" s="124"/>
      <c r="N66" s="141"/>
      <c r="O66" s="141"/>
      <c r="P66" s="141"/>
      <c r="Q66" s="141"/>
      <c r="R66" s="141"/>
      <c r="S66" s="141"/>
      <c r="T66" s="141"/>
      <c r="U66" s="141"/>
    </row>
    <row r="67" spans="2:21" x14ac:dyDescent="0.2">
      <c r="B67" s="124"/>
      <c r="N67" s="141"/>
      <c r="O67" s="141"/>
      <c r="P67" s="141"/>
      <c r="Q67" s="141"/>
      <c r="R67" s="141"/>
      <c r="S67" s="141"/>
      <c r="T67" s="141"/>
      <c r="U67" s="141"/>
    </row>
    <row r="68" spans="2:21" x14ac:dyDescent="0.2">
      <c r="B68" s="124"/>
      <c r="N68" s="141"/>
      <c r="O68" s="141"/>
      <c r="P68" s="141"/>
      <c r="Q68" s="141"/>
      <c r="R68" s="141"/>
      <c r="S68" s="141"/>
      <c r="T68" s="141"/>
      <c r="U68" s="141"/>
    </row>
    <row r="69" spans="2:21" x14ac:dyDescent="0.2">
      <c r="B69" s="124"/>
      <c r="N69" s="141"/>
      <c r="O69" s="141"/>
      <c r="P69" s="141"/>
      <c r="Q69" s="141"/>
      <c r="R69" s="141"/>
      <c r="S69" s="141"/>
      <c r="T69" s="141"/>
      <c r="U69" s="141"/>
    </row>
    <row r="70" spans="2:21" x14ac:dyDescent="0.2">
      <c r="B70" s="124"/>
      <c r="N70" s="141"/>
      <c r="O70" s="141"/>
      <c r="P70" s="141"/>
      <c r="Q70" s="141"/>
      <c r="R70" s="141"/>
      <c r="S70" s="141"/>
      <c r="T70" s="141"/>
      <c r="U70" s="141"/>
    </row>
    <row r="71" spans="2:21" x14ac:dyDescent="0.2">
      <c r="B71" s="124"/>
      <c r="N71" s="141"/>
      <c r="O71" s="141"/>
      <c r="P71" s="141"/>
      <c r="Q71" s="141"/>
      <c r="R71" s="141"/>
      <c r="S71" s="141"/>
      <c r="T71" s="141"/>
      <c r="U71" s="141"/>
    </row>
    <row r="72" spans="2:21" x14ac:dyDescent="0.2">
      <c r="B72" s="124"/>
      <c r="N72" s="141"/>
      <c r="O72" s="141"/>
      <c r="P72" s="141"/>
      <c r="Q72" s="141"/>
      <c r="R72" s="141"/>
      <c r="S72" s="141"/>
      <c r="T72" s="141"/>
      <c r="U72" s="141"/>
    </row>
    <row r="73" spans="2:21" x14ac:dyDescent="0.2">
      <c r="B73" s="136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141"/>
      <c r="O73" s="141"/>
      <c r="P73" s="141"/>
      <c r="Q73" s="141"/>
      <c r="R73" s="141"/>
      <c r="S73" s="141"/>
      <c r="T73" s="141"/>
      <c r="U73" s="141"/>
    </row>
    <row r="74" spans="2:21" x14ac:dyDescent="0.2">
      <c r="B74" s="124"/>
      <c r="N74" s="141"/>
      <c r="O74" s="141"/>
      <c r="P74" s="141"/>
      <c r="Q74" s="141"/>
      <c r="R74" s="141"/>
      <c r="S74" s="141"/>
      <c r="T74" s="141"/>
      <c r="U74" s="141"/>
    </row>
    <row r="75" spans="2:21" x14ac:dyDescent="0.2">
      <c r="B75" s="124"/>
      <c r="N75" s="141"/>
      <c r="O75" s="141"/>
      <c r="P75" s="141"/>
      <c r="Q75" s="141"/>
      <c r="R75" s="141"/>
      <c r="S75" s="141"/>
      <c r="T75" s="141"/>
      <c r="U75" s="141"/>
    </row>
    <row r="76" spans="2:21" x14ac:dyDescent="0.2">
      <c r="B76" s="136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141"/>
      <c r="O76" s="141"/>
      <c r="P76" s="141"/>
      <c r="Q76" s="141"/>
      <c r="R76" s="141"/>
      <c r="S76" s="141"/>
      <c r="T76" s="141"/>
      <c r="U76" s="141"/>
    </row>
    <row r="77" spans="2:21" x14ac:dyDescent="0.2">
      <c r="B77" s="124"/>
      <c r="N77" s="141"/>
      <c r="O77" s="141"/>
      <c r="P77" s="141"/>
      <c r="Q77" s="141"/>
      <c r="R77" s="141"/>
      <c r="S77" s="141"/>
      <c r="T77" s="141"/>
      <c r="U77" s="141"/>
    </row>
    <row r="78" spans="2:21" x14ac:dyDescent="0.2">
      <c r="B78" s="124"/>
      <c r="N78" s="141"/>
      <c r="O78" s="141"/>
      <c r="P78" s="141"/>
      <c r="Q78" s="141"/>
      <c r="R78" s="141"/>
      <c r="S78" s="141"/>
      <c r="T78" s="141"/>
      <c r="U78" s="141"/>
    </row>
    <row r="79" spans="2:21" x14ac:dyDescent="0.2">
      <c r="B79" s="124"/>
      <c r="N79" s="141"/>
      <c r="O79" s="141"/>
      <c r="P79" s="141"/>
      <c r="Q79" s="141"/>
      <c r="R79" s="141"/>
      <c r="S79" s="141"/>
      <c r="T79" s="141"/>
      <c r="U79" s="141"/>
    </row>
    <row r="80" spans="2:21" x14ac:dyDescent="0.2">
      <c r="B80" s="124"/>
      <c r="N80" s="141"/>
      <c r="O80" s="141"/>
      <c r="P80" s="141"/>
      <c r="Q80" s="141"/>
      <c r="R80" s="141"/>
      <c r="S80" s="141"/>
      <c r="T80" s="141"/>
      <c r="U80" s="141"/>
    </row>
    <row r="81" spans="2:21" x14ac:dyDescent="0.2">
      <c r="B81" s="124"/>
      <c r="N81" s="141"/>
      <c r="O81" s="141"/>
      <c r="P81" s="141"/>
      <c r="Q81" s="141"/>
      <c r="R81" s="141"/>
      <c r="S81" s="141"/>
      <c r="T81" s="141"/>
      <c r="U81" s="141"/>
    </row>
    <row r="82" spans="2:21" x14ac:dyDescent="0.2">
      <c r="B82" s="124"/>
      <c r="N82" s="141"/>
      <c r="O82" s="141"/>
      <c r="P82" s="141"/>
      <c r="Q82" s="141"/>
      <c r="R82" s="141"/>
      <c r="S82" s="141"/>
      <c r="T82" s="141"/>
      <c r="U82" s="141"/>
    </row>
    <row r="83" spans="2:21" x14ac:dyDescent="0.2">
      <c r="B83" s="12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142"/>
      <c r="O83" s="142"/>
      <c r="P83" s="142"/>
      <c r="Q83" s="142"/>
      <c r="R83" s="142"/>
      <c r="S83" s="142"/>
      <c r="T83" s="142"/>
      <c r="U83" s="142"/>
    </row>
    <row r="85" spans="2:21" x14ac:dyDescent="0.2"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</row>
    <row r="86" spans="2:21" x14ac:dyDescent="0.2"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43"/>
      <c r="O86" s="143"/>
      <c r="P86" s="143"/>
      <c r="Q86" s="143"/>
      <c r="R86" s="143"/>
      <c r="S86" s="143"/>
      <c r="T86" s="143"/>
      <c r="U86" s="143"/>
    </row>
    <row r="87" spans="2:21" x14ac:dyDescent="0.2"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43"/>
      <c r="O87" s="143"/>
      <c r="P87" s="143"/>
      <c r="Q87" s="143"/>
      <c r="R87" s="143"/>
      <c r="S87" s="143"/>
      <c r="T87" s="143"/>
      <c r="U87" s="143"/>
    </row>
    <row r="88" spans="2:21" x14ac:dyDescent="0.2"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43"/>
      <c r="O88" s="143"/>
      <c r="P88" s="143"/>
      <c r="Q88" s="143"/>
      <c r="R88" s="143"/>
      <c r="S88" s="143"/>
      <c r="T88" s="143"/>
      <c r="U88" s="143"/>
    </row>
    <row r="89" spans="2:21" x14ac:dyDescent="0.2"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43"/>
      <c r="O89" s="143"/>
      <c r="P89" s="143"/>
      <c r="Q89" s="143"/>
      <c r="R89" s="143"/>
      <c r="S89" s="143"/>
      <c r="T89" s="143"/>
      <c r="U89" s="143"/>
    </row>
    <row r="90" spans="2:21" x14ac:dyDescent="0.2"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44"/>
      <c r="O90" s="144"/>
      <c r="P90" s="144"/>
      <c r="Q90" s="144"/>
      <c r="R90" s="144"/>
      <c r="S90" s="144"/>
      <c r="T90" s="144"/>
      <c r="U90" s="144"/>
    </row>
  </sheetData>
  <mergeCells count="42">
    <mergeCell ref="C10:D10"/>
    <mergeCell ref="B2:U2"/>
    <mergeCell ref="B3:U3"/>
    <mergeCell ref="B4:U4"/>
    <mergeCell ref="C8:D8"/>
    <mergeCell ref="C9:D9"/>
    <mergeCell ref="C25:D25"/>
    <mergeCell ref="C11:D11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B50:D50"/>
    <mergeCell ref="C38:D38"/>
    <mergeCell ref="C39:D39"/>
    <mergeCell ref="C40:D40"/>
    <mergeCell ref="C41:D41"/>
    <mergeCell ref="C43:D43"/>
    <mergeCell ref="C44:D44"/>
    <mergeCell ref="B45:D45"/>
    <mergeCell ref="B46:D46"/>
    <mergeCell ref="B47:D47"/>
    <mergeCell ref="B48:D48"/>
    <mergeCell ref="B49:D49"/>
  </mergeCells>
  <pageMargins left="0.7" right="0.7" top="0.75" bottom="0.75" header="0.3" footer="0.3"/>
  <pageSetup scale="79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LIBRO BANCO</vt:lpstr>
      <vt:lpstr>CHEQUE TRANSISTO</vt:lpstr>
      <vt:lpstr>CONCILIACION BANCARIA</vt:lpstr>
      <vt:lpstr>LIQUIDACION DE FONDO</vt:lpstr>
      <vt:lpstr>'CONCILIACION BANCARIA'!Área_de_impresión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dcterms:created xsi:type="dcterms:W3CDTF">2026-05-05T13:14:59Z</dcterms:created>
  <dcterms:modified xsi:type="dcterms:W3CDTF">2026-05-05T14:11:21Z</dcterms:modified>
</cp:coreProperties>
</file>